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65236" windowWidth="15195" windowHeight="8940" tabRatio="799" activeTab="0"/>
  </bookViews>
  <sheets>
    <sheet name="Dimensions" sheetId="1" r:id="rId1"/>
    <sheet name="Main" sheetId="2" r:id="rId2"/>
    <sheet name="Tower Mass" sheetId="3" r:id="rId3"/>
    <sheet name="Concrete Mass" sheetId="4" r:id="rId4"/>
    <sheet name="Crush Energy" sheetId="5" r:id="rId5"/>
    <sheet name="Potential" sheetId="6" r:id="rId6"/>
  </sheets>
  <definedNames>
    <definedName name="_xlnm.Print_Area" localSheetId="1">'Main'!$A$1:$S$121</definedName>
  </definedNames>
  <calcPr fullCalcOnLoad="1"/>
</workbook>
</file>

<file path=xl/comments1.xml><?xml version="1.0" encoding="utf-8"?>
<comments xmlns="http://schemas.openxmlformats.org/spreadsheetml/2006/main">
  <authors>
    <author>Ray</author>
  </authors>
  <commentList>
    <comment ref="C11" authorId="0">
      <text>
        <r>
          <rPr>
            <sz val="8"/>
            <rFont val="Tahoma"/>
            <family val="0"/>
          </rPr>
          <t>NISTNCSTAR1-2A
PAGE 36
87FT</t>
        </r>
      </text>
    </comment>
    <comment ref="C12" authorId="0">
      <text>
        <r>
          <rPr>
            <b/>
            <sz val="8"/>
            <rFont val="Tahoma"/>
            <family val="0"/>
          </rPr>
          <t>NISTNCSTAR1-2A
PAGE 36
135FT</t>
        </r>
      </text>
    </comment>
    <comment ref="C8" authorId="0">
      <text>
        <r>
          <rPr>
            <b/>
            <sz val="8"/>
            <rFont val="Tahoma"/>
            <family val="0"/>
          </rPr>
          <t>NISTNCSTAR1-2A
PAGE 35
207FT</t>
        </r>
      </text>
    </comment>
    <comment ref="C9" authorId="0">
      <text>
        <r>
          <rPr>
            <b/>
            <sz val="8"/>
            <rFont val="Tahoma"/>
            <family val="0"/>
          </rPr>
          <t>NISTNCSTAR1-2A
PAGE 36
1368FT WTC 1
1362FT WTC 2</t>
        </r>
      </text>
    </comment>
    <comment ref="C15" authorId="0">
      <text>
        <r>
          <rPr>
            <b/>
            <sz val="8"/>
            <rFont val="Tahoma"/>
            <family val="0"/>
          </rPr>
          <t>NISTNCSTAR1-2A
PAGE 35
110 ABOVE GRADE</t>
        </r>
      </text>
    </comment>
    <comment ref="C16" authorId="0">
      <text>
        <r>
          <rPr>
            <b/>
            <sz val="8"/>
            <rFont val="Tahoma"/>
            <family val="0"/>
          </rPr>
          <t>NISTNCSTAR1-2A
PAGE 35
6 BELOW GRADE</t>
        </r>
      </text>
    </comment>
    <comment ref="C26" authorId="0">
      <text>
        <r>
          <rPr>
            <b/>
            <sz val="8"/>
            <rFont val="Tahoma"/>
            <family val="0"/>
          </rPr>
          <t>NISTNCSTAR1-2A
PAGE 38
36FT SPAN OUTSIDE CORE ON SHORT LENGTH
60FT SPAN OUTSIDE CORE ON LONG PATH</t>
        </r>
      </text>
    </comment>
    <comment ref="C33" authorId="0">
      <text>
        <r>
          <rPr>
            <b/>
            <sz val="8"/>
            <rFont val="Tahoma"/>
            <family val="0"/>
          </rPr>
          <t>NIST
100PCF</t>
        </r>
      </text>
    </comment>
    <comment ref="C34" authorId="0">
      <text>
        <r>
          <rPr>
            <b/>
            <sz val="8"/>
            <rFont val="Tahoma"/>
            <family val="0"/>
          </rPr>
          <t>NIST
150PCF</t>
        </r>
      </text>
    </comment>
    <comment ref="C19" authorId="0">
      <text>
        <r>
          <rPr>
            <b/>
            <sz val="8"/>
            <rFont val="Tahoma"/>
            <family val="0"/>
          </rPr>
          <t>ACTUAL Structural height for most floors is 29.4960in=0.7492m
Energy and time to collapse this structure is not included.
Structure would also reduce any initial impact surface area, increasing the probability that concrete sections would be broken into larger regular sections, rather than pulverised.</t>
        </r>
      </text>
    </comment>
    <comment ref="C59" authorId="0">
      <text>
        <r>
          <rPr>
            <b/>
            <sz val="8"/>
            <rFont val="Tahoma"/>
            <family val="0"/>
          </rPr>
          <t>Maximum Calculated scale is 500 (Sheet Crush Energy)</t>
        </r>
      </text>
    </comment>
    <comment ref="C60" authorId="0">
      <text>
        <r>
          <rPr>
            <b/>
            <sz val="8"/>
            <rFont val="Tahoma"/>
            <family val="0"/>
          </rPr>
          <t>Minimum Calculated Scale is 1 (Sheet Crush Energy)</t>
        </r>
      </text>
    </comment>
    <comment ref="A9" authorId="0">
      <text>
        <r>
          <rPr>
            <b/>
            <sz val="8"/>
            <rFont val="Tahoma"/>
            <family val="0"/>
          </rPr>
          <t>The classification 'Above Grade' denotes 'above ground'.</t>
        </r>
      </text>
    </comment>
    <comment ref="C4" authorId="0">
      <text>
        <r>
          <rPr>
            <b/>
            <sz val="8"/>
            <rFont val="Tahoma"/>
            <family val="0"/>
          </rPr>
          <t>All values is this column are either calculated from values in the 'Used' column, calculated from values elsewhere in this spreadsheet, or direct values which can be verified to be more accurate than those used by Greening.
Values in this column should not be changed without full understanding and tacing of the implications.
Any user values should be entered in the 'Used' column to thr right.</t>
        </r>
      </text>
    </comment>
    <comment ref="B4" authorId="0">
      <text>
        <r>
          <rPr>
            <b/>
            <sz val="8"/>
            <rFont val="Tahoma"/>
            <family val="0"/>
          </rPr>
          <t>All values in this column are direct values stated by Greening in his papers.
Many are incorrect and erronious.
Part of the purpose of this study is to show how and why the figures stated by Greening are incorrect, perhaps even deliberately so.</t>
        </r>
      </text>
    </comment>
    <comment ref="B9" authorId="0">
      <text>
        <r>
          <rPr>
            <b/>
            <sz val="8"/>
            <rFont val="Tahoma"/>
            <family val="0"/>
          </rPr>
          <t>Greening uses the 'average' value of 416m for both WTC 1 and WTC 2. 416m is incorrect for both.</t>
        </r>
      </text>
    </comment>
    <comment ref="B20" authorId="0">
      <text>
        <r>
          <rPr>
            <b/>
            <sz val="8"/>
            <rFont val="Tahoma"/>
            <family val="0"/>
          </rPr>
          <t>Greening chose this figure to apparently account for the thickness of each floor concrete slab. The actual thickness of the concrete slab varies depending upon floor type, and the core concrete slab thickness is significantly larger. It is shown to the right that it is wildly incorrect, either as a calculation of the average full storey height, nor of the average floor to ceiling average.</t>
        </r>
      </text>
    </comment>
    <comment ref="B27" authorId="0">
      <text>
        <r>
          <rPr>
            <b/>
            <sz val="8"/>
            <rFont val="Tahoma"/>
            <family val="0"/>
          </rPr>
          <t>Greening takes NO account of the significant volume of concrete inside the Central Core.</t>
        </r>
      </text>
    </comment>
    <comment ref="A29" authorId="0">
      <text>
        <r>
          <rPr>
            <b/>
            <sz val="8"/>
            <rFont val="Tahoma"/>
            <family val="0"/>
          </rPr>
          <t>Titled 'average' as the actual depth of the concrete slab varies on specific floors depending upon the floor 'type' as listed in the 'mass' worksheets.</t>
        </r>
      </text>
    </comment>
    <comment ref="B31" authorId="0">
      <text>
        <r>
          <rPr>
            <b/>
            <sz val="8"/>
            <rFont val="Tahoma"/>
            <family val="0"/>
          </rPr>
          <t>Greenings value is significantly incorrect due to the volume of concrete in the core being totally ignored.</t>
        </r>
      </text>
    </comment>
    <comment ref="C27" authorId="0">
      <text>
        <r>
          <rPr>
            <b/>
            <sz val="8"/>
            <rFont val="Tahoma"/>
            <family val="0"/>
          </rPr>
          <t>The modifier of 0.6 is used to account for the fact that not all the floor space in the core had a concrete slab, such as elevator shafts and some stairwell sections. This value probably reduces the concrete volume below the actual figure. A more accurate estimation should be used if data can be determined. The underestimation of the concrete volume works in favour of the official collapse theory.</t>
        </r>
      </text>
    </comment>
    <comment ref="C37" authorId="0">
      <text>
        <r>
          <rPr>
            <b/>
            <sz val="8"/>
            <rFont val="Tahoma"/>
            <family val="0"/>
          </rPr>
          <t>Estimated to be a linear increase based on density difference between 'normal' and 'lightweight' concrete.
A more accurate 'normal' concrete fracture energy should be determined asap.</t>
        </r>
      </text>
    </comment>
    <comment ref="C38" authorId="0">
      <text>
        <r>
          <rPr>
            <b/>
            <sz val="8"/>
            <rFont val="Tahoma"/>
            <family val="0"/>
          </rPr>
          <t>Concrete crush energy is derived from Greenings data and calculations. This figure does not match the Greening value as a more accurate density value sourced from NIST is used.</t>
        </r>
      </text>
    </comment>
    <comment ref="B38" authorId="0">
      <text>
        <r>
          <rPr>
            <b/>
            <sz val="8"/>
            <rFont val="Tahoma"/>
            <family val="0"/>
          </rPr>
          <t>Greenings stated density is incorrect resulting in this value also being incorrect.</t>
        </r>
      </text>
    </comment>
    <comment ref="B36" authorId="0">
      <text>
        <r>
          <rPr>
            <b/>
            <sz val="8"/>
            <rFont val="Tahoma"/>
            <family val="0"/>
          </rPr>
          <t>Greening states many sources for this value, which should be verified and updated as required.</t>
        </r>
      </text>
    </comment>
    <comment ref="C40" authorId="0">
      <text>
        <r>
          <rPr>
            <b/>
            <sz val="8"/>
            <rFont val="Tahoma"/>
            <family val="0"/>
          </rPr>
          <t>Sourced from Urich, and based on 100000short ton values from FEMA.</t>
        </r>
      </text>
    </comment>
    <comment ref="C41" authorId="0">
      <text>
        <r>
          <rPr>
            <b/>
            <sz val="8"/>
            <rFont val="Tahoma"/>
            <family val="0"/>
          </rPr>
          <t>Sourced from Urich, based on 100000short ton value from FEMA</t>
        </r>
      </text>
    </comment>
    <comment ref="C47" authorId="0">
      <text>
        <r>
          <rPr>
            <b/>
            <sz val="8"/>
            <rFont val="Tahoma"/>
            <family val="0"/>
          </rPr>
          <t>90718470 is 100000short tons in kg. FEMA sourced value for total structural steel.</t>
        </r>
      </text>
    </comment>
    <comment ref="A47" authorId="0">
      <text>
        <r>
          <rPr>
            <b/>
            <sz val="8"/>
            <rFont val="Tahoma"/>
            <family val="0"/>
          </rPr>
          <t>If total steel mass is to be changed, please refer back to the author for a careful recalc, as automatic update is not included in this version of this spreadsheet, and multiple values are affected.</t>
        </r>
      </text>
    </comment>
    <comment ref="C50" authorId="0">
      <text>
        <r>
          <rPr>
            <b/>
            <sz val="8"/>
            <rFont val="Tahoma"/>
            <family val="0"/>
          </rPr>
          <t>The ratio of these two values is used to estimate the additional energy required for collapse as the core column thickness is gradually thicker towards the base of wach tower. Columns at the base were 16 times the thickness of those at the top of each tower. The ACTUAL energy required was probably MUCH higher, and will be addressed in a subsequent version of this spreadsheet.</t>
        </r>
      </text>
    </comment>
    <comment ref="B55" authorId="0">
      <text>
        <r>
          <rPr>
            <b/>
            <sz val="8"/>
            <rFont val="Tahoma"/>
            <family val="0"/>
          </rPr>
          <t>Greenings value is 10 MILLION kg larger than the largest common 'estimate'.</t>
        </r>
      </text>
    </comment>
    <comment ref="C55" authorId="0">
      <text>
        <r>
          <rPr>
            <b/>
            <sz val="8"/>
            <rFont val="Tahoma"/>
            <family val="0"/>
          </rPr>
          <t>Every care has been taken to include all sources of mass, primarily sourced from NIST. All values include FULL occupancy, FULL dead-load and FULL live load values. The ACTUAL loads were much less than maximum. Any further information relating to masses is welcomed, as is any submission of more accurate values for ANY figures used in this study.</t>
        </r>
      </text>
    </comment>
    <comment ref="D85" authorId="0">
      <text>
        <r>
          <rPr>
            <b/>
            <sz val="8"/>
            <rFont val="Tahoma"/>
            <family val="0"/>
          </rPr>
          <t>If the energy expended exceeds the energy available during a floor impact, then this field will show the FIRST floor at which collapse progression 'fails'.
Collapse is artifically allowed to continue with the subsequent initial velocity being zero, post 'collapse', post 'crush'.</t>
        </r>
      </text>
    </comment>
    <comment ref="B89" authorId="0">
      <text>
        <r>
          <rPr>
            <b/>
            <sz val="8"/>
            <rFont val="Tahoma"/>
            <family val="0"/>
          </rPr>
          <t>Greening makes the assumption that the thickness of the core columns was constant. In fact the core column thickness at the base was 16 times that of the thickness at the top of each tower.</t>
        </r>
      </text>
    </comment>
    <comment ref="C94" authorId="0">
      <text>
        <r>
          <rPr>
            <b/>
            <sz val="8"/>
            <rFont val="Tahoma"/>
            <family val="0"/>
          </rPr>
          <t>The effect of air resistance will be included in the next version of this study.</t>
        </r>
      </text>
    </comment>
    <comment ref="C95" authorId="0">
      <text>
        <r>
          <rPr>
            <b/>
            <sz val="8"/>
            <rFont val="Tahoma"/>
            <family val="0"/>
          </rPr>
          <t>It is easily shown that the 'in vacuum free-fall' time for each tower MUST take conservation of momentum into account, making the MINIMUM progressive pancake collapse time for each tower, having NO resistance, NO mass loss, NO energy loss 11.3s, NOT 9.2s.
This is a SIGNIFICANT value to bear in mind when discussing the use of the word 'free-fall' in relation to these events.</t>
        </r>
      </text>
    </comment>
    <comment ref="C20" authorId="0">
      <text>
        <r>
          <rPr>
            <b/>
            <sz val="8"/>
            <rFont val="Tahoma"/>
            <family val="0"/>
          </rPr>
          <t>3.04m is a more accurate floor to ceiling measurement, but is not recommended for usage in these calculations as this version does not take account of the energy and time requirements for the deformation of the structural floor elements, yet.</t>
        </r>
      </text>
    </comment>
    <comment ref="B44" authorId="0">
      <text>
        <r>
          <rPr>
            <b/>
            <sz val="8"/>
            <rFont val="Tahoma"/>
            <family val="0"/>
          </rPr>
          <t>Greening does not account for varying slab thicknesses nor the concrete within the central core.</t>
        </r>
      </text>
    </comment>
    <comment ref="D52" authorId="0">
      <text>
        <r>
          <rPr>
            <b/>
            <sz val="8"/>
            <rFont val="Tahoma"/>
            <family val="0"/>
          </rPr>
          <t>If "y" then the floor mass below is used for every floor.
If "n" then the floor-by-floor calculated masses are used.</t>
        </r>
      </text>
    </comment>
    <comment ref="C74" authorId="0">
      <text>
        <r>
          <rPr>
            <b/>
            <sz val="8"/>
            <rFont val="Tahoma"/>
            <family val="0"/>
          </rPr>
          <t>The internally calculated value includes additions for the roof/antenna and the aircraft.</t>
        </r>
      </text>
    </comment>
    <comment ref="C6" authorId="0">
      <text>
        <r>
          <rPr>
            <b/>
            <sz val="8"/>
            <rFont val="Tahoma"/>
            <family val="0"/>
          </rPr>
          <t>SI Standard Value.</t>
        </r>
      </text>
    </comment>
    <comment ref="D57" authorId="0">
      <text>
        <r>
          <rPr>
            <b/>
            <sz val="8"/>
            <rFont val="Tahoma"/>
            <family val="0"/>
          </rPr>
          <t>If "n" then the (avg) value is used for every floor.
If "y" then the (maximum) value is used for the first floor, graduating to the (minimum) value for the ground floor.</t>
        </r>
      </text>
    </comment>
    <comment ref="B53" authorId="0">
      <text>
        <r>
          <rPr>
            <b/>
            <sz val="8"/>
            <rFont val="Tahoma"/>
            <family val="0"/>
          </rPr>
          <t>Greening divides an over-inflated full tower mass, which would also include the mass of the basement levels, evenly between each above grade floor (110). This is wildly incorrect as floors nearer to the base were supported by much heavier structural beams, up to 16x the cross-sectional diameter. It also spreads the mass of the basement levels over all of the floors above, further distorting the mass of the upper floors.</t>
        </r>
      </text>
    </comment>
    <comment ref="C64" authorId="0">
      <text>
        <r>
          <rPr>
            <b/>
            <sz val="8"/>
            <rFont val="Tahoma"/>
            <family val="0"/>
          </rPr>
          <t>If constant energy is not selected, this value displays the 'average' floor collapse energy requirement. Floors nearer to the base were supported by thicker steel supports (up to x16), requiring more energy to 'collapse' them.</t>
        </r>
      </text>
    </comment>
    <comment ref="D63" authorId="0">
      <text>
        <r>
          <rPr>
            <b/>
            <sz val="8"/>
            <rFont val="Tahoma"/>
            <family val="0"/>
          </rPr>
          <t>If "n" then the figure below is used for every floor.
If "y" then the figures are calculated floor-by-floor. See sheet "Tower Mass".</t>
        </r>
      </text>
    </comment>
    <comment ref="D66" authorId="0">
      <text>
        <r>
          <rPr>
            <b/>
            <sz val="8"/>
            <rFont val="Tahoma"/>
            <family val="0"/>
          </rPr>
          <t>It is obvious from footage that a large volume of the mass of each tower was thrown laterally outside the footprint during each 'collapse'. Lateral ejection of mass was evident from initiation. Any inclusion of mass loss percentages is currently subjective, and specific values will be sourced and included over time. MINIMUM agreed values are that 10% of the concrete of each floor, and almost ALL of the perimeter structural mass was ejected, playing NO part in the continuation of each 'collapse'.</t>
        </r>
      </text>
    </comment>
    <comment ref="A66" authorId="0">
      <text>
        <r>
          <rPr>
            <b/>
            <sz val="8"/>
            <rFont val="Tahoma"/>
            <family val="0"/>
          </rPr>
          <t>NIST conclude that the initial seismic spike for the WTC 1 event was due to the cap hitting the ground in advance of the rest of the tower mass. This implies the cap did not fall over the tower footprint for the entire collapse sequence. The mass-loss of the cap is very significant, and the point at which it no longer applied force over the tower footprint will be determined asap.</t>
        </r>
      </text>
    </comment>
    <comment ref="A63" authorId="0">
      <text>
        <r>
          <rPr>
            <b/>
            <sz val="8"/>
            <rFont val="Tahoma"/>
            <family val="0"/>
          </rPr>
          <t>The 'support energy' is the amount of energy required to 'collapse' the structural steel supports at each floor.</t>
        </r>
      </text>
    </comment>
    <comment ref="A57" authorId="0">
      <text>
        <r>
          <rPr>
            <b/>
            <sz val="8"/>
            <rFont val="Tahoma"/>
            <family val="0"/>
          </rPr>
          <t>The 'crush energy' is the amount of energy required to crush the concrete floor slab into particles of the specified scale.</t>
        </r>
      </text>
    </comment>
    <comment ref="A52" authorId="0">
      <text>
        <r>
          <rPr>
            <b/>
            <sz val="8"/>
            <rFont val="Tahoma"/>
            <family val="0"/>
          </rPr>
          <t>'Floor mass' is the mass of each storey of the tower. A constant mass or a floor-by-floor calcuated mass can be used.</t>
        </r>
      </text>
    </comment>
    <comment ref="B70" authorId="0">
      <text>
        <r>
          <rPr>
            <b/>
            <sz val="8"/>
            <rFont val="Tahoma"/>
            <family val="0"/>
          </rPr>
          <t>Greening states a  value for the aircraft mass, but does not use it in subsequent calculations.</t>
        </r>
      </text>
    </comment>
    <comment ref="D70" authorId="0">
      <text>
        <r>
          <rPr>
            <b/>
            <sz val="8"/>
            <rFont val="Tahoma"/>
            <family val="0"/>
          </rPr>
          <t>This value is added to the initial cap mass if constant floor mass is not selected.</t>
        </r>
      </text>
    </comment>
  </commentList>
</comments>
</file>

<file path=xl/comments2.xml><?xml version="1.0" encoding="utf-8"?>
<comments xmlns="http://schemas.openxmlformats.org/spreadsheetml/2006/main">
  <authors>
    <author>Ray</author>
  </authors>
  <commentList>
    <comment ref="N3" authorId="0">
      <text>
        <r>
          <rPr>
            <b/>
            <sz val="8"/>
            <rFont val="Tahoma"/>
            <family val="0"/>
          </rPr>
          <t>Kinetic Output is Artifically set to ZERO if negative, to allow the collapse to progress.</t>
        </r>
      </text>
    </comment>
  </commentList>
</comments>
</file>

<file path=xl/comments3.xml><?xml version="1.0" encoding="utf-8"?>
<comments xmlns="http://schemas.openxmlformats.org/spreadsheetml/2006/main">
  <authors>
    <author>Ray</author>
  </authors>
  <commentList>
    <comment ref="Q118" authorId="0">
      <text>
        <r>
          <rPr>
            <b/>
            <sz val="8"/>
            <rFont val="Tahoma"/>
            <family val="0"/>
          </rPr>
          <t>NIST
P174
75PSF</t>
        </r>
      </text>
    </comment>
    <comment ref="Q119" authorId="0">
      <text>
        <r>
          <rPr>
            <b/>
            <sz val="8"/>
            <rFont val="Tahoma"/>
            <family val="0"/>
          </rPr>
          <t>NIST
P174
75PSF</t>
        </r>
      </text>
    </comment>
    <comment ref="Q120" authorId="0">
      <text>
        <r>
          <rPr>
            <b/>
            <sz val="8"/>
            <rFont val="Tahoma"/>
            <family val="0"/>
          </rPr>
          <t>NIST
P174
75PSF</t>
        </r>
      </text>
    </comment>
    <comment ref="Q121" authorId="0">
      <text>
        <r>
          <rPr>
            <b/>
            <sz val="8"/>
            <rFont val="Tahoma"/>
            <family val="0"/>
          </rPr>
          <t>NIST
P174
75PSF</t>
        </r>
      </text>
    </comment>
    <comment ref="Q122" authorId="0">
      <text>
        <r>
          <rPr>
            <b/>
            <sz val="8"/>
            <rFont val="Tahoma"/>
            <family val="0"/>
          </rPr>
          <t>NIST
P174
75PSF</t>
        </r>
      </text>
    </comment>
    <comment ref="Q123" authorId="0">
      <text>
        <r>
          <rPr>
            <b/>
            <sz val="8"/>
            <rFont val="Tahoma"/>
            <family val="0"/>
          </rPr>
          <t>NIST
P174
75PSF</t>
        </r>
      </text>
    </comment>
    <comment ref="R118" authorId="0">
      <text>
        <r>
          <rPr>
            <b/>
            <sz val="8"/>
            <rFont val="Tahoma"/>
            <family val="0"/>
          </rPr>
          <t>NIST
P174
75PSF</t>
        </r>
      </text>
    </comment>
    <comment ref="R119" authorId="0">
      <text>
        <r>
          <rPr>
            <b/>
            <sz val="8"/>
            <rFont val="Tahoma"/>
            <family val="0"/>
          </rPr>
          <t>NIST
P174
75PSF</t>
        </r>
      </text>
    </comment>
    <comment ref="R120" authorId="0">
      <text>
        <r>
          <rPr>
            <b/>
            <sz val="8"/>
            <rFont val="Tahoma"/>
            <family val="0"/>
          </rPr>
          <t>NIST
P174
75PSF</t>
        </r>
      </text>
    </comment>
    <comment ref="R121" authorId="0">
      <text>
        <r>
          <rPr>
            <b/>
            <sz val="8"/>
            <rFont val="Tahoma"/>
            <family val="0"/>
          </rPr>
          <t>NIST
P174
75PSF</t>
        </r>
      </text>
    </comment>
    <comment ref="R122" authorId="0">
      <text>
        <r>
          <rPr>
            <b/>
            <sz val="8"/>
            <rFont val="Tahoma"/>
            <family val="0"/>
          </rPr>
          <t>NIST
P174
75PSF</t>
        </r>
      </text>
    </comment>
    <comment ref="R123" authorId="0">
      <text>
        <r>
          <rPr>
            <b/>
            <sz val="8"/>
            <rFont val="Tahoma"/>
            <family val="0"/>
          </rPr>
          <t>NIST
P174
75PSF</t>
        </r>
      </text>
    </comment>
    <comment ref="U11" authorId="0">
      <text>
        <r>
          <rPr>
            <b/>
            <sz val="8"/>
            <rFont val="Tahoma"/>
            <family val="0"/>
          </rPr>
          <t>NIST
P175
66PSF</t>
        </r>
      </text>
    </comment>
    <comment ref="U8" authorId="0">
      <text>
        <r>
          <rPr>
            <b/>
            <sz val="8"/>
            <rFont val="Tahoma"/>
            <family val="0"/>
          </rPr>
          <t>NIST
P175
66PSF</t>
        </r>
      </text>
    </comment>
    <comment ref="U41" authorId="0">
      <text>
        <r>
          <rPr>
            <b/>
            <sz val="8"/>
            <rFont val="Tahoma"/>
            <family val="0"/>
          </rPr>
          <t>NIST
P175
66PSF</t>
        </r>
      </text>
    </comment>
    <comment ref="U75" authorId="0">
      <text>
        <r>
          <rPr>
            <b/>
            <sz val="8"/>
            <rFont val="Tahoma"/>
            <family val="0"/>
          </rPr>
          <t>NIST
P175
66PSF</t>
        </r>
      </text>
    </comment>
    <comment ref="U109" authorId="0">
      <text>
        <r>
          <rPr>
            <b/>
            <sz val="8"/>
            <rFont val="Tahoma"/>
            <family val="0"/>
          </rPr>
          <t>NIST
P175
66PSF</t>
        </r>
      </text>
    </comment>
    <comment ref="U112" authorId="0">
      <text>
        <r>
          <rPr>
            <b/>
            <sz val="8"/>
            <rFont val="Tahoma"/>
            <family val="0"/>
          </rPr>
          <t>NIST
P175
66PSF</t>
        </r>
      </text>
    </comment>
    <comment ref="U113" authorId="0">
      <text>
        <r>
          <rPr>
            <b/>
            <sz val="8"/>
            <rFont val="Tahoma"/>
            <family val="0"/>
          </rPr>
          <t>NIST
P175
66PSF</t>
        </r>
      </text>
    </comment>
    <comment ref="U114" authorId="0">
      <text>
        <r>
          <rPr>
            <b/>
            <sz val="8"/>
            <rFont val="Tahoma"/>
            <family val="0"/>
          </rPr>
          <t>NIST
P175
66PSF</t>
        </r>
      </text>
    </comment>
    <comment ref="U115" authorId="0">
      <text>
        <r>
          <rPr>
            <b/>
            <sz val="8"/>
            <rFont val="Tahoma"/>
            <family val="0"/>
          </rPr>
          <t>NIST
P175
66PSF</t>
        </r>
      </text>
    </comment>
    <comment ref="V112" authorId="0">
      <text>
        <r>
          <rPr>
            <b/>
            <sz val="8"/>
            <rFont val="Tahoma"/>
            <family val="0"/>
          </rPr>
          <t>NIST
P175
75PSF</t>
        </r>
      </text>
    </comment>
    <comment ref="V113" authorId="0">
      <text>
        <r>
          <rPr>
            <b/>
            <sz val="8"/>
            <rFont val="Tahoma"/>
            <family val="0"/>
          </rPr>
          <t>NIST
P175
75PSF</t>
        </r>
      </text>
    </comment>
    <comment ref="V114" authorId="0">
      <text>
        <r>
          <rPr>
            <b/>
            <sz val="8"/>
            <rFont val="Tahoma"/>
            <family val="0"/>
          </rPr>
          <t>NIST
P175
75PSF</t>
        </r>
      </text>
    </comment>
    <comment ref="V115" authorId="0">
      <text>
        <r>
          <rPr>
            <b/>
            <sz val="8"/>
            <rFont val="Tahoma"/>
            <family val="0"/>
          </rPr>
          <t>NIST
P175
75PSF</t>
        </r>
      </text>
    </comment>
    <comment ref="V109" authorId="0">
      <text>
        <r>
          <rPr>
            <b/>
            <sz val="8"/>
            <rFont val="Tahoma"/>
            <family val="0"/>
          </rPr>
          <t>NIST
P175
75PSF</t>
        </r>
      </text>
    </comment>
    <comment ref="V75" authorId="0">
      <text>
        <r>
          <rPr>
            <b/>
            <sz val="8"/>
            <rFont val="Tahoma"/>
            <family val="0"/>
          </rPr>
          <t>NIST
P175
75PSF</t>
        </r>
      </text>
    </comment>
    <comment ref="V41" authorId="0">
      <text>
        <r>
          <rPr>
            <b/>
            <sz val="8"/>
            <rFont val="Tahoma"/>
            <family val="0"/>
          </rPr>
          <t>NIST
P175
75PSF</t>
        </r>
      </text>
    </comment>
    <comment ref="V11" authorId="0">
      <text>
        <r>
          <rPr>
            <b/>
            <sz val="8"/>
            <rFont val="Tahoma"/>
            <family val="0"/>
          </rPr>
          <t>NIST
P175
75PSF</t>
        </r>
      </text>
    </comment>
    <comment ref="V8" authorId="0">
      <text>
        <r>
          <rPr>
            <b/>
            <sz val="8"/>
            <rFont val="Tahoma"/>
            <family val="0"/>
          </rPr>
          <t>NIST
P175
75PSF</t>
        </r>
      </text>
    </comment>
    <comment ref="U22" authorId="0">
      <text>
        <r>
          <rPr>
            <b/>
            <sz val="8"/>
            <rFont val="Tahoma"/>
            <family val="0"/>
          </rPr>
          <t>NIST
P171
33PSF</t>
        </r>
      </text>
    </comment>
    <comment ref="U13" authorId="0">
      <text>
        <r>
          <rPr>
            <b/>
            <sz val="8"/>
            <rFont val="Tahoma"/>
            <family val="0"/>
          </rPr>
          <t>NIST
P171
33PSF</t>
        </r>
      </text>
    </comment>
    <comment ref="U14" authorId="0">
      <text>
        <r>
          <rPr>
            <b/>
            <sz val="8"/>
            <rFont val="Tahoma"/>
            <family val="0"/>
          </rPr>
          <t>NIST
P171
33PSF</t>
        </r>
      </text>
    </comment>
    <comment ref="U15" authorId="0">
      <text>
        <r>
          <rPr>
            <b/>
            <sz val="8"/>
            <rFont val="Tahoma"/>
            <family val="0"/>
          </rPr>
          <t>NIST
P171
33PSF</t>
        </r>
      </text>
    </comment>
    <comment ref="U16" authorId="0">
      <text>
        <r>
          <rPr>
            <b/>
            <sz val="8"/>
            <rFont val="Tahoma"/>
            <family val="0"/>
          </rPr>
          <t>NIST
P171
33PSF</t>
        </r>
      </text>
    </comment>
    <comment ref="U17" authorId="0">
      <text>
        <r>
          <rPr>
            <b/>
            <sz val="8"/>
            <rFont val="Tahoma"/>
            <family val="0"/>
          </rPr>
          <t>NIST
P171
33PSF</t>
        </r>
      </text>
    </comment>
    <comment ref="U18" authorId="0">
      <text>
        <r>
          <rPr>
            <b/>
            <sz val="8"/>
            <rFont val="Tahoma"/>
            <family val="0"/>
          </rPr>
          <t>NIST
P171
33PSF</t>
        </r>
      </text>
    </comment>
    <comment ref="U19" authorId="0">
      <text>
        <r>
          <rPr>
            <b/>
            <sz val="8"/>
            <rFont val="Tahoma"/>
            <family val="0"/>
          </rPr>
          <t>NIST
P171
33PSF</t>
        </r>
      </text>
    </comment>
    <comment ref="U20" authorId="0">
      <text>
        <r>
          <rPr>
            <b/>
            <sz val="8"/>
            <rFont val="Tahoma"/>
            <family val="0"/>
          </rPr>
          <t>NIST
P171
33PSF</t>
        </r>
      </text>
    </comment>
    <comment ref="U21" authorId="0">
      <text>
        <r>
          <rPr>
            <b/>
            <sz val="8"/>
            <rFont val="Tahoma"/>
            <family val="0"/>
          </rPr>
          <t>NIST
P171
33PSF</t>
        </r>
      </text>
    </comment>
    <comment ref="U23" authorId="0">
      <text>
        <r>
          <rPr>
            <b/>
            <sz val="8"/>
            <rFont val="Tahoma"/>
            <family val="0"/>
          </rPr>
          <t>NIST
P171
33PSF</t>
        </r>
      </text>
    </comment>
    <comment ref="U24" authorId="0">
      <text>
        <r>
          <rPr>
            <b/>
            <sz val="8"/>
            <rFont val="Tahoma"/>
            <family val="0"/>
          </rPr>
          <t>NIST
P171
33PSF</t>
        </r>
      </text>
    </comment>
    <comment ref="U25" authorId="0">
      <text>
        <r>
          <rPr>
            <b/>
            <sz val="8"/>
            <rFont val="Tahoma"/>
            <family val="0"/>
          </rPr>
          <t>NIST
P171
33PSF</t>
        </r>
      </text>
    </comment>
    <comment ref="U27" authorId="0">
      <text>
        <r>
          <rPr>
            <b/>
            <sz val="8"/>
            <rFont val="Tahoma"/>
            <family val="0"/>
          </rPr>
          <t>NIST
P171
33PSF</t>
        </r>
      </text>
    </comment>
    <comment ref="U28" authorId="0">
      <text>
        <r>
          <rPr>
            <b/>
            <sz val="8"/>
            <rFont val="Tahoma"/>
            <family val="0"/>
          </rPr>
          <t>NIST
P171
33PSF</t>
        </r>
      </text>
    </comment>
    <comment ref="U29" authorId="0">
      <text>
        <r>
          <rPr>
            <b/>
            <sz val="8"/>
            <rFont val="Tahoma"/>
            <family val="0"/>
          </rPr>
          <t>NIST
P171
33PSF</t>
        </r>
      </text>
    </comment>
    <comment ref="U30" authorId="0">
      <text>
        <r>
          <rPr>
            <b/>
            <sz val="8"/>
            <rFont val="Tahoma"/>
            <family val="0"/>
          </rPr>
          <t>NIST
P171
33PSF</t>
        </r>
      </text>
    </comment>
    <comment ref="U31" authorId="0">
      <text>
        <r>
          <rPr>
            <b/>
            <sz val="8"/>
            <rFont val="Tahoma"/>
            <family val="0"/>
          </rPr>
          <t>NIST
P171
33PSF</t>
        </r>
      </text>
    </comment>
    <comment ref="U32" authorId="0">
      <text>
        <r>
          <rPr>
            <b/>
            <sz val="8"/>
            <rFont val="Tahoma"/>
            <family val="0"/>
          </rPr>
          <t>NIST
P171
33PSF</t>
        </r>
      </text>
    </comment>
    <comment ref="U33" authorId="0">
      <text>
        <r>
          <rPr>
            <b/>
            <sz val="8"/>
            <rFont val="Tahoma"/>
            <family val="0"/>
          </rPr>
          <t>NIST
P171
33PSF</t>
        </r>
      </text>
    </comment>
    <comment ref="U34" authorId="0">
      <text>
        <r>
          <rPr>
            <b/>
            <sz val="8"/>
            <rFont val="Tahoma"/>
            <family val="0"/>
          </rPr>
          <t>NIST
P171
33PSF</t>
        </r>
      </text>
    </comment>
    <comment ref="U44" authorId="0">
      <text>
        <r>
          <rPr>
            <b/>
            <sz val="8"/>
            <rFont val="Tahoma"/>
            <family val="0"/>
          </rPr>
          <t>NIST
P171
33PSF</t>
        </r>
      </text>
    </comment>
    <comment ref="U45" authorId="0">
      <text>
        <r>
          <rPr>
            <b/>
            <sz val="8"/>
            <rFont val="Tahoma"/>
            <family val="0"/>
          </rPr>
          <t>NIST
P171
33PSF</t>
        </r>
      </text>
    </comment>
    <comment ref="U46" authorId="0">
      <text>
        <r>
          <rPr>
            <b/>
            <sz val="8"/>
            <rFont val="Tahoma"/>
            <family val="0"/>
          </rPr>
          <t>NIST
P171
33PSF</t>
        </r>
      </text>
    </comment>
    <comment ref="U47" authorId="0">
      <text>
        <r>
          <rPr>
            <b/>
            <sz val="8"/>
            <rFont val="Tahoma"/>
            <family val="0"/>
          </rPr>
          <t>NIST
P171
33PSF</t>
        </r>
      </text>
    </comment>
    <comment ref="U48" authorId="0">
      <text>
        <r>
          <rPr>
            <b/>
            <sz val="8"/>
            <rFont val="Tahoma"/>
            <family val="0"/>
          </rPr>
          <t>NIST
P171
33PSF</t>
        </r>
      </text>
    </comment>
    <comment ref="U49" authorId="0">
      <text>
        <r>
          <rPr>
            <b/>
            <sz val="8"/>
            <rFont val="Tahoma"/>
            <family val="0"/>
          </rPr>
          <t>NIST
P171
33PSF</t>
        </r>
      </text>
    </comment>
    <comment ref="U50" authorId="0">
      <text>
        <r>
          <rPr>
            <b/>
            <sz val="8"/>
            <rFont val="Tahoma"/>
            <family val="0"/>
          </rPr>
          <t>NIST
P171
33PSF</t>
        </r>
      </text>
    </comment>
    <comment ref="U52" authorId="0">
      <text>
        <r>
          <rPr>
            <b/>
            <sz val="8"/>
            <rFont val="Tahoma"/>
            <family val="0"/>
          </rPr>
          <t>NIST
P171
33PSF</t>
        </r>
      </text>
    </comment>
    <comment ref="U53" authorId="0">
      <text>
        <r>
          <rPr>
            <b/>
            <sz val="8"/>
            <rFont val="Tahoma"/>
            <family val="0"/>
          </rPr>
          <t>NIST
P171
33PSF</t>
        </r>
      </text>
    </comment>
    <comment ref="U54" authorId="0">
      <text>
        <r>
          <rPr>
            <b/>
            <sz val="8"/>
            <rFont val="Tahoma"/>
            <family val="0"/>
          </rPr>
          <t>NIST
P171
33PSF</t>
        </r>
      </text>
    </comment>
    <comment ref="U55" authorId="0">
      <text>
        <r>
          <rPr>
            <b/>
            <sz val="8"/>
            <rFont val="Tahoma"/>
            <family val="0"/>
          </rPr>
          <t>NIST
P171
33PSF</t>
        </r>
      </text>
    </comment>
    <comment ref="U56" authorId="0">
      <text>
        <r>
          <rPr>
            <b/>
            <sz val="8"/>
            <rFont val="Tahoma"/>
            <family val="0"/>
          </rPr>
          <t>NIST
P171
33PSF</t>
        </r>
      </text>
    </comment>
    <comment ref="U57" authorId="0">
      <text>
        <r>
          <rPr>
            <b/>
            <sz val="8"/>
            <rFont val="Tahoma"/>
            <family val="0"/>
          </rPr>
          <t>NIST
P171
33PSF</t>
        </r>
      </text>
    </comment>
    <comment ref="U58" authorId="0">
      <text>
        <r>
          <rPr>
            <b/>
            <sz val="8"/>
            <rFont val="Tahoma"/>
            <family val="0"/>
          </rPr>
          <t>NIST
P171
33PSF</t>
        </r>
      </text>
    </comment>
    <comment ref="U60" authorId="0">
      <text>
        <r>
          <rPr>
            <b/>
            <sz val="8"/>
            <rFont val="Tahoma"/>
            <family val="0"/>
          </rPr>
          <t>NIST
P171
33PSF</t>
        </r>
      </text>
    </comment>
    <comment ref="U61" authorId="0">
      <text>
        <r>
          <rPr>
            <b/>
            <sz val="8"/>
            <rFont val="Tahoma"/>
            <family val="0"/>
          </rPr>
          <t>NIST
P171
33PSF</t>
        </r>
      </text>
    </comment>
    <comment ref="U62" authorId="0">
      <text>
        <r>
          <rPr>
            <b/>
            <sz val="8"/>
            <rFont val="Tahoma"/>
            <family val="0"/>
          </rPr>
          <t>NIST
P171
33PSF</t>
        </r>
      </text>
    </comment>
    <comment ref="U63" authorId="0">
      <text>
        <r>
          <rPr>
            <b/>
            <sz val="8"/>
            <rFont val="Tahoma"/>
            <family val="0"/>
          </rPr>
          <t>NIST
P171
33PSF</t>
        </r>
      </text>
    </comment>
    <comment ref="U64" authorId="0">
      <text>
        <r>
          <rPr>
            <b/>
            <sz val="8"/>
            <rFont val="Tahoma"/>
            <family val="0"/>
          </rPr>
          <t>NIST
P171
33PSF</t>
        </r>
      </text>
    </comment>
    <comment ref="U65" authorId="0">
      <text>
        <r>
          <rPr>
            <b/>
            <sz val="8"/>
            <rFont val="Tahoma"/>
            <family val="0"/>
          </rPr>
          <t>NIST
P171
33PSF</t>
        </r>
      </text>
    </comment>
    <comment ref="U66" authorId="0">
      <text>
        <r>
          <rPr>
            <b/>
            <sz val="8"/>
            <rFont val="Tahoma"/>
            <family val="0"/>
          </rPr>
          <t>NIST
P171
33PSF</t>
        </r>
      </text>
    </comment>
    <comment ref="U67" authorId="0">
      <text>
        <r>
          <rPr>
            <b/>
            <sz val="8"/>
            <rFont val="Tahoma"/>
            <family val="0"/>
          </rPr>
          <t>NIST
P171
33PSF</t>
        </r>
      </text>
    </comment>
    <comment ref="U68" authorId="0">
      <text>
        <r>
          <rPr>
            <b/>
            <sz val="8"/>
            <rFont val="Tahoma"/>
            <family val="0"/>
          </rPr>
          <t>NIST
P171
33PSF</t>
        </r>
      </text>
    </comment>
    <comment ref="U78" authorId="0">
      <text>
        <r>
          <rPr>
            <b/>
            <sz val="8"/>
            <rFont val="Tahoma"/>
            <family val="0"/>
          </rPr>
          <t>NIST
P171
33PSF</t>
        </r>
      </text>
    </comment>
    <comment ref="U79" authorId="0">
      <text>
        <r>
          <rPr>
            <b/>
            <sz val="8"/>
            <rFont val="Tahoma"/>
            <family val="0"/>
          </rPr>
          <t>NIST
P171
33PSF</t>
        </r>
      </text>
    </comment>
    <comment ref="U80" authorId="0">
      <text>
        <r>
          <rPr>
            <b/>
            <sz val="8"/>
            <rFont val="Tahoma"/>
            <family val="0"/>
          </rPr>
          <t>NIST
P171
33PSF</t>
        </r>
      </text>
    </comment>
    <comment ref="U81" authorId="0">
      <text>
        <r>
          <rPr>
            <b/>
            <sz val="8"/>
            <rFont val="Tahoma"/>
            <family val="0"/>
          </rPr>
          <t>NIST
P171
33PSF</t>
        </r>
      </text>
    </comment>
    <comment ref="U82" authorId="0">
      <text>
        <r>
          <rPr>
            <b/>
            <sz val="8"/>
            <rFont val="Tahoma"/>
            <family val="0"/>
          </rPr>
          <t>NIST
P171
33PSF</t>
        </r>
      </text>
    </comment>
    <comment ref="U83" authorId="0">
      <text>
        <r>
          <rPr>
            <b/>
            <sz val="8"/>
            <rFont val="Tahoma"/>
            <family val="0"/>
          </rPr>
          <t>NIST
P171
33PSF</t>
        </r>
      </text>
    </comment>
    <comment ref="U84" authorId="0">
      <text>
        <r>
          <rPr>
            <b/>
            <sz val="8"/>
            <rFont val="Tahoma"/>
            <family val="0"/>
          </rPr>
          <t>NIST
P171
33PSF</t>
        </r>
      </text>
    </comment>
    <comment ref="U85" authorId="0">
      <text>
        <r>
          <rPr>
            <b/>
            <sz val="8"/>
            <rFont val="Tahoma"/>
            <family val="0"/>
          </rPr>
          <t>NIST
P171
33PSF</t>
        </r>
      </text>
    </comment>
    <comment ref="U86" authorId="0">
      <text>
        <r>
          <rPr>
            <b/>
            <sz val="8"/>
            <rFont val="Tahoma"/>
            <family val="0"/>
          </rPr>
          <t>NIST
P171
33PSF</t>
        </r>
      </text>
    </comment>
    <comment ref="U87" authorId="0">
      <text>
        <r>
          <rPr>
            <b/>
            <sz val="8"/>
            <rFont val="Tahoma"/>
            <family val="0"/>
          </rPr>
          <t>NIST
P171
33PSF</t>
        </r>
      </text>
    </comment>
    <comment ref="U88" authorId="0">
      <text>
        <r>
          <rPr>
            <b/>
            <sz val="8"/>
            <rFont val="Tahoma"/>
            <family val="0"/>
          </rPr>
          <t>NIST
P171
33PSF</t>
        </r>
      </text>
    </comment>
    <comment ref="U89" authorId="0">
      <text>
        <r>
          <rPr>
            <b/>
            <sz val="8"/>
            <rFont val="Tahoma"/>
            <family val="0"/>
          </rPr>
          <t>NIST
P171
33PSF</t>
        </r>
      </text>
    </comment>
    <comment ref="U90" authorId="0">
      <text>
        <r>
          <rPr>
            <b/>
            <sz val="8"/>
            <rFont val="Tahoma"/>
            <family val="0"/>
          </rPr>
          <t>NIST
P171
33PSF</t>
        </r>
      </text>
    </comment>
    <comment ref="U91" authorId="0">
      <text>
        <r>
          <rPr>
            <b/>
            <sz val="8"/>
            <rFont val="Tahoma"/>
            <family val="0"/>
          </rPr>
          <t>NIST
P171
33PSF</t>
        </r>
      </text>
    </comment>
    <comment ref="U92" authorId="0">
      <text>
        <r>
          <rPr>
            <b/>
            <sz val="8"/>
            <rFont val="Tahoma"/>
            <family val="0"/>
          </rPr>
          <t>NIST
P171
33PSF</t>
        </r>
      </text>
    </comment>
    <comment ref="U94" authorId="0">
      <text>
        <r>
          <rPr>
            <b/>
            <sz val="8"/>
            <rFont val="Tahoma"/>
            <family val="0"/>
          </rPr>
          <t>NIST
P171
33PSF</t>
        </r>
      </text>
    </comment>
    <comment ref="U95" authorId="0">
      <text>
        <r>
          <rPr>
            <b/>
            <sz val="8"/>
            <rFont val="Tahoma"/>
            <family val="0"/>
          </rPr>
          <t>NIST
P171
33PSF</t>
        </r>
      </text>
    </comment>
    <comment ref="U96" authorId="0">
      <text>
        <r>
          <rPr>
            <b/>
            <sz val="8"/>
            <rFont val="Tahoma"/>
            <family val="0"/>
          </rPr>
          <t>NIST
P171
33PSF</t>
        </r>
      </text>
    </comment>
    <comment ref="U97" authorId="0">
      <text>
        <r>
          <rPr>
            <b/>
            <sz val="8"/>
            <rFont val="Tahoma"/>
            <family val="0"/>
          </rPr>
          <t>NIST
P171
33PSF</t>
        </r>
      </text>
    </comment>
    <comment ref="U98" authorId="0">
      <text>
        <r>
          <rPr>
            <b/>
            <sz val="8"/>
            <rFont val="Tahoma"/>
            <family val="0"/>
          </rPr>
          <t>NIST
P171
33PSF</t>
        </r>
      </text>
    </comment>
    <comment ref="U99" authorId="0">
      <text>
        <r>
          <rPr>
            <b/>
            <sz val="8"/>
            <rFont val="Tahoma"/>
            <family val="0"/>
          </rPr>
          <t>NIST
P171
33PSF</t>
        </r>
      </text>
    </comment>
    <comment ref="U100" authorId="0">
      <text>
        <r>
          <rPr>
            <b/>
            <sz val="8"/>
            <rFont val="Tahoma"/>
            <family val="0"/>
          </rPr>
          <t>NIST
P171
33PSF</t>
        </r>
      </text>
    </comment>
    <comment ref="U101" authorId="0">
      <text>
        <r>
          <rPr>
            <b/>
            <sz val="8"/>
            <rFont val="Tahoma"/>
            <family val="0"/>
          </rPr>
          <t>NIST
P171
33PSF</t>
        </r>
      </text>
    </comment>
    <comment ref="U102" authorId="0">
      <text>
        <r>
          <rPr>
            <b/>
            <sz val="8"/>
            <rFont val="Tahoma"/>
            <family val="0"/>
          </rPr>
          <t>NIST
P171
33PSF</t>
        </r>
      </text>
    </comment>
    <comment ref="U103" authorId="0">
      <text>
        <r>
          <rPr>
            <b/>
            <sz val="8"/>
            <rFont val="Tahoma"/>
            <family val="0"/>
          </rPr>
          <t>NIST
P171
33PSF</t>
        </r>
      </text>
    </comment>
    <comment ref="U104" authorId="0">
      <text>
        <r>
          <rPr>
            <b/>
            <sz val="8"/>
            <rFont val="Tahoma"/>
            <family val="0"/>
          </rPr>
          <t>NIST
P171
33PSF</t>
        </r>
      </text>
    </comment>
    <comment ref="V78" authorId="0">
      <text>
        <r>
          <rPr>
            <b/>
            <sz val="8"/>
            <rFont val="Tahoma"/>
            <family val="0"/>
          </rPr>
          <t>NIST
P171
75PSF</t>
        </r>
      </text>
    </comment>
    <comment ref="V79" authorId="0">
      <text>
        <r>
          <rPr>
            <b/>
            <sz val="8"/>
            <rFont val="Tahoma"/>
            <family val="0"/>
          </rPr>
          <t>NIST
P171
75PSF</t>
        </r>
      </text>
    </comment>
    <comment ref="V80" authorId="0">
      <text>
        <r>
          <rPr>
            <b/>
            <sz val="8"/>
            <rFont val="Tahoma"/>
            <family val="0"/>
          </rPr>
          <t>NIST
P171
75PSF</t>
        </r>
      </text>
    </comment>
    <comment ref="V81" authorId="0">
      <text>
        <r>
          <rPr>
            <b/>
            <sz val="8"/>
            <rFont val="Tahoma"/>
            <family val="0"/>
          </rPr>
          <t>NIST
P171
75PSF</t>
        </r>
      </text>
    </comment>
    <comment ref="V82" authorId="0">
      <text>
        <r>
          <rPr>
            <b/>
            <sz val="8"/>
            <rFont val="Tahoma"/>
            <family val="0"/>
          </rPr>
          <t>NIST
P171
75PSF</t>
        </r>
      </text>
    </comment>
    <comment ref="V83" authorId="0">
      <text>
        <r>
          <rPr>
            <b/>
            <sz val="8"/>
            <rFont val="Tahoma"/>
            <family val="0"/>
          </rPr>
          <t>NIST
P171
75PSF</t>
        </r>
      </text>
    </comment>
    <comment ref="V84" authorId="0">
      <text>
        <r>
          <rPr>
            <b/>
            <sz val="8"/>
            <rFont val="Tahoma"/>
            <family val="0"/>
          </rPr>
          <t>NIST
P171
75PSF</t>
        </r>
      </text>
    </comment>
    <comment ref="V85" authorId="0">
      <text>
        <r>
          <rPr>
            <b/>
            <sz val="8"/>
            <rFont val="Tahoma"/>
            <family val="0"/>
          </rPr>
          <t>NIST
P171
75PSF</t>
        </r>
      </text>
    </comment>
    <comment ref="V86" authorId="0">
      <text>
        <r>
          <rPr>
            <b/>
            <sz val="8"/>
            <rFont val="Tahoma"/>
            <family val="0"/>
          </rPr>
          <t>NIST
P171
75PSF</t>
        </r>
      </text>
    </comment>
    <comment ref="V87" authorId="0">
      <text>
        <r>
          <rPr>
            <b/>
            <sz val="8"/>
            <rFont val="Tahoma"/>
            <family val="0"/>
          </rPr>
          <t>NIST
P171
75PSF</t>
        </r>
      </text>
    </comment>
    <comment ref="V88" authorId="0">
      <text>
        <r>
          <rPr>
            <b/>
            <sz val="8"/>
            <rFont val="Tahoma"/>
            <family val="0"/>
          </rPr>
          <t>NIST
P171
75PSF</t>
        </r>
      </text>
    </comment>
    <comment ref="V89" authorId="0">
      <text>
        <r>
          <rPr>
            <b/>
            <sz val="8"/>
            <rFont val="Tahoma"/>
            <family val="0"/>
          </rPr>
          <t>NIST
P171
75PSF</t>
        </r>
      </text>
    </comment>
    <comment ref="V90" authorId="0">
      <text>
        <r>
          <rPr>
            <b/>
            <sz val="8"/>
            <rFont val="Tahoma"/>
            <family val="0"/>
          </rPr>
          <t>NIST
P171
75PSF</t>
        </r>
      </text>
    </comment>
    <comment ref="V91" authorId="0">
      <text>
        <r>
          <rPr>
            <b/>
            <sz val="8"/>
            <rFont val="Tahoma"/>
            <family val="0"/>
          </rPr>
          <t>NIST
P171
75PSF</t>
        </r>
      </text>
    </comment>
    <comment ref="V92" authorId="0">
      <text>
        <r>
          <rPr>
            <b/>
            <sz val="8"/>
            <rFont val="Tahoma"/>
            <family val="0"/>
          </rPr>
          <t>NIST
P171
75PSF</t>
        </r>
      </text>
    </comment>
    <comment ref="V94" authorId="0">
      <text>
        <r>
          <rPr>
            <b/>
            <sz val="8"/>
            <rFont val="Tahoma"/>
            <family val="0"/>
          </rPr>
          <t>NIST
P171
75PSF</t>
        </r>
      </text>
    </comment>
    <comment ref="V95" authorId="0">
      <text>
        <r>
          <rPr>
            <b/>
            <sz val="8"/>
            <rFont val="Tahoma"/>
            <family val="0"/>
          </rPr>
          <t>NIST
P171
75PSF</t>
        </r>
      </text>
    </comment>
    <comment ref="V96" authorId="0">
      <text>
        <r>
          <rPr>
            <b/>
            <sz val="8"/>
            <rFont val="Tahoma"/>
            <family val="0"/>
          </rPr>
          <t>NIST
P171
75PSF</t>
        </r>
      </text>
    </comment>
    <comment ref="V97" authorId="0">
      <text>
        <r>
          <rPr>
            <b/>
            <sz val="8"/>
            <rFont val="Tahoma"/>
            <family val="0"/>
          </rPr>
          <t>NIST
P171
75PSF</t>
        </r>
      </text>
    </comment>
    <comment ref="V98" authorId="0">
      <text>
        <r>
          <rPr>
            <b/>
            <sz val="8"/>
            <rFont val="Tahoma"/>
            <family val="0"/>
          </rPr>
          <t>NIST
P171
75PSF</t>
        </r>
      </text>
    </comment>
    <comment ref="V99" authorId="0">
      <text>
        <r>
          <rPr>
            <b/>
            <sz val="8"/>
            <rFont val="Tahoma"/>
            <family val="0"/>
          </rPr>
          <t>NIST
P171
75PSF</t>
        </r>
      </text>
    </comment>
    <comment ref="V100" authorId="0">
      <text>
        <r>
          <rPr>
            <b/>
            <sz val="8"/>
            <rFont val="Tahoma"/>
            <family val="0"/>
          </rPr>
          <t>NIST
P171
75PSF</t>
        </r>
      </text>
    </comment>
    <comment ref="V101" authorId="0">
      <text>
        <r>
          <rPr>
            <b/>
            <sz val="8"/>
            <rFont val="Tahoma"/>
            <family val="0"/>
          </rPr>
          <t>NIST
P171
75PSF</t>
        </r>
      </text>
    </comment>
    <comment ref="V102" authorId="0">
      <text>
        <r>
          <rPr>
            <b/>
            <sz val="8"/>
            <rFont val="Tahoma"/>
            <family val="0"/>
          </rPr>
          <t>NIST
P171
75PSF</t>
        </r>
      </text>
    </comment>
    <comment ref="V103" authorId="0">
      <text>
        <r>
          <rPr>
            <b/>
            <sz val="8"/>
            <rFont val="Tahoma"/>
            <family val="0"/>
          </rPr>
          <t>NIST
P171
75PSF</t>
        </r>
      </text>
    </comment>
    <comment ref="V104" authorId="0">
      <text>
        <r>
          <rPr>
            <b/>
            <sz val="8"/>
            <rFont val="Tahoma"/>
            <family val="0"/>
          </rPr>
          <t>NIST
P171
75PSF</t>
        </r>
      </text>
    </comment>
    <comment ref="V60" authorId="0">
      <text>
        <r>
          <rPr>
            <b/>
            <sz val="8"/>
            <rFont val="Tahoma"/>
            <family val="0"/>
          </rPr>
          <t>NIST
P171
75PSF</t>
        </r>
      </text>
    </comment>
    <comment ref="V61" authorId="0">
      <text>
        <r>
          <rPr>
            <b/>
            <sz val="8"/>
            <rFont val="Tahoma"/>
            <family val="0"/>
          </rPr>
          <t>NIST
P171
75PSF</t>
        </r>
      </text>
    </comment>
    <comment ref="V62" authorId="0">
      <text>
        <r>
          <rPr>
            <b/>
            <sz val="8"/>
            <rFont val="Tahoma"/>
            <family val="0"/>
          </rPr>
          <t>NIST
P171
75PSF</t>
        </r>
      </text>
    </comment>
    <comment ref="V63" authorId="0">
      <text>
        <r>
          <rPr>
            <b/>
            <sz val="8"/>
            <rFont val="Tahoma"/>
            <family val="0"/>
          </rPr>
          <t>NIST
P171
75PSF</t>
        </r>
      </text>
    </comment>
    <comment ref="V64" authorId="0">
      <text>
        <r>
          <rPr>
            <b/>
            <sz val="8"/>
            <rFont val="Tahoma"/>
            <family val="0"/>
          </rPr>
          <t>NIST
P171
75PSF</t>
        </r>
      </text>
    </comment>
    <comment ref="V65" authorId="0">
      <text>
        <r>
          <rPr>
            <b/>
            <sz val="8"/>
            <rFont val="Tahoma"/>
            <family val="0"/>
          </rPr>
          <t>NIST
P171
75PSF</t>
        </r>
      </text>
    </comment>
    <comment ref="V66" authorId="0">
      <text>
        <r>
          <rPr>
            <b/>
            <sz val="8"/>
            <rFont val="Tahoma"/>
            <family val="0"/>
          </rPr>
          <t>NIST
P171
75PSF</t>
        </r>
      </text>
    </comment>
    <comment ref="V67" authorId="0">
      <text>
        <r>
          <rPr>
            <b/>
            <sz val="8"/>
            <rFont val="Tahoma"/>
            <family val="0"/>
          </rPr>
          <t>NIST
P171
75PSF</t>
        </r>
      </text>
    </comment>
    <comment ref="V68" authorId="0">
      <text>
        <r>
          <rPr>
            <b/>
            <sz val="8"/>
            <rFont val="Tahoma"/>
            <family val="0"/>
          </rPr>
          <t>NIST
P171
75PSF</t>
        </r>
      </text>
    </comment>
    <comment ref="V52" authorId="0">
      <text>
        <r>
          <rPr>
            <b/>
            <sz val="8"/>
            <rFont val="Tahoma"/>
            <family val="0"/>
          </rPr>
          <t>NIST
P171
75PSF</t>
        </r>
      </text>
    </comment>
    <comment ref="V53" authorId="0">
      <text>
        <r>
          <rPr>
            <b/>
            <sz val="8"/>
            <rFont val="Tahoma"/>
            <family val="0"/>
          </rPr>
          <t>NIST
P171
75PSF</t>
        </r>
      </text>
    </comment>
    <comment ref="V54" authorId="0">
      <text>
        <r>
          <rPr>
            <b/>
            <sz val="8"/>
            <rFont val="Tahoma"/>
            <family val="0"/>
          </rPr>
          <t>NIST
P171
75PSF</t>
        </r>
      </text>
    </comment>
    <comment ref="V55" authorId="0">
      <text>
        <r>
          <rPr>
            <b/>
            <sz val="8"/>
            <rFont val="Tahoma"/>
            <family val="0"/>
          </rPr>
          <t>NIST
P171
75PSF</t>
        </r>
      </text>
    </comment>
    <comment ref="V56" authorId="0">
      <text>
        <r>
          <rPr>
            <b/>
            <sz val="8"/>
            <rFont val="Tahoma"/>
            <family val="0"/>
          </rPr>
          <t>NIST
P171
75PSF</t>
        </r>
      </text>
    </comment>
    <comment ref="V57" authorId="0">
      <text>
        <r>
          <rPr>
            <b/>
            <sz val="8"/>
            <rFont val="Tahoma"/>
            <family val="0"/>
          </rPr>
          <t>NIST
P171
75PSF</t>
        </r>
      </text>
    </comment>
    <comment ref="V58" authorId="0">
      <text>
        <r>
          <rPr>
            <b/>
            <sz val="8"/>
            <rFont val="Tahoma"/>
            <family val="0"/>
          </rPr>
          <t>NIST
P171
75PSF</t>
        </r>
      </text>
    </comment>
    <comment ref="V44" authorId="0">
      <text>
        <r>
          <rPr>
            <b/>
            <sz val="8"/>
            <rFont val="Tahoma"/>
            <family val="0"/>
          </rPr>
          <t>NIST
P171
75PSF</t>
        </r>
      </text>
    </comment>
    <comment ref="V45" authorId="0">
      <text>
        <r>
          <rPr>
            <b/>
            <sz val="8"/>
            <rFont val="Tahoma"/>
            <family val="0"/>
          </rPr>
          <t>NIST
P171
75PSF</t>
        </r>
      </text>
    </comment>
    <comment ref="V46" authorId="0">
      <text>
        <r>
          <rPr>
            <b/>
            <sz val="8"/>
            <rFont val="Tahoma"/>
            <family val="0"/>
          </rPr>
          <t>NIST
P171
75PSF</t>
        </r>
      </text>
    </comment>
    <comment ref="V47" authorId="0">
      <text>
        <r>
          <rPr>
            <b/>
            <sz val="8"/>
            <rFont val="Tahoma"/>
            <family val="0"/>
          </rPr>
          <t>NIST
P171
75PSF</t>
        </r>
      </text>
    </comment>
    <comment ref="V48" authorId="0">
      <text>
        <r>
          <rPr>
            <b/>
            <sz val="8"/>
            <rFont val="Tahoma"/>
            <family val="0"/>
          </rPr>
          <t>NIST
P171
75PSF</t>
        </r>
      </text>
    </comment>
    <comment ref="V49" authorId="0">
      <text>
        <r>
          <rPr>
            <b/>
            <sz val="8"/>
            <rFont val="Tahoma"/>
            <family val="0"/>
          </rPr>
          <t>NIST
P171
75PSF</t>
        </r>
      </text>
    </comment>
    <comment ref="V50" authorId="0">
      <text>
        <r>
          <rPr>
            <b/>
            <sz val="8"/>
            <rFont val="Tahoma"/>
            <family val="0"/>
          </rPr>
          <t>NIST
P171
75PSF</t>
        </r>
      </text>
    </comment>
    <comment ref="V27" authorId="0">
      <text>
        <r>
          <rPr>
            <b/>
            <sz val="8"/>
            <rFont val="Tahoma"/>
            <family val="0"/>
          </rPr>
          <t>NIST
P171
75PSF</t>
        </r>
      </text>
    </comment>
    <comment ref="V28" authorId="0">
      <text>
        <r>
          <rPr>
            <b/>
            <sz val="8"/>
            <rFont val="Tahoma"/>
            <family val="0"/>
          </rPr>
          <t>NIST
P171
75PSF</t>
        </r>
      </text>
    </comment>
    <comment ref="V29" authorId="0">
      <text>
        <r>
          <rPr>
            <b/>
            <sz val="8"/>
            <rFont val="Tahoma"/>
            <family val="0"/>
          </rPr>
          <t>NIST
P171
75PSF</t>
        </r>
      </text>
    </comment>
    <comment ref="V30" authorId="0">
      <text>
        <r>
          <rPr>
            <b/>
            <sz val="8"/>
            <rFont val="Tahoma"/>
            <family val="0"/>
          </rPr>
          <t>NIST
P171
75PSF</t>
        </r>
      </text>
    </comment>
    <comment ref="V31" authorId="0">
      <text>
        <r>
          <rPr>
            <b/>
            <sz val="8"/>
            <rFont val="Tahoma"/>
            <family val="0"/>
          </rPr>
          <t>NIST
P171
75PSF</t>
        </r>
      </text>
    </comment>
    <comment ref="V32" authorId="0">
      <text>
        <r>
          <rPr>
            <b/>
            <sz val="8"/>
            <rFont val="Tahoma"/>
            <family val="0"/>
          </rPr>
          <t>NIST
P171
75PSF</t>
        </r>
      </text>
    </comment>
    <comment ref="V33" authorId="0">
      <text>
        <r>
          <rPr>
            <b/>
            <sz val="8"/>
            <rFont val="Tahoma"/>
            <family val="0"/>
          </rPr>
          <t>NIST
P171
75PSF</t>
        </r>
      </text>
    </comment>
    <comment ref="V34" authorId="0">
      <text>
        <r>
          <rPr>
            <b/>
            <sz val="8"/>
            <rFont val="Tahoma"/>
            <family val="0"/>
          </rPr>
          <t>NIST
P171
75PSF</t>
        </r>
      </text>
    </comment>
    <comment ref="V13" authorId="0">
      <text>
        <r>
          <rPr>
            <b/>
            <sz val="8"/>
            <rFont val="Tahoma"/>
            <family val="0"/>
          </rPr>
          <t>NIST
P171
75PSF</t>
        </r>
      </text>
    </comment>
    <comment ref="V14" authorId="0">
      <text>
        <r>
          <rPr>
            <b/>
            <sz val="8"/>
            <rFont val="Tahoma"/>
            <family val="0"/>
          </rPr>
          <t>NIST
P171
75PSF</t>
        </r>
      </text>
    </comment>
    <comment ref="V15" authorId="0">
      <text>
        <r>
          <rPr>
            <b/>
            <sz val="8"/>
            <rFont val="Tahoma"/>
            <family val="0"/>
          </rPr>
          <t>NIST
P171
75PSF</t>
        </r>
      </text>
    </comment>
    <comment ref="V16" authorId="0">
      <text>
        <r>
          <rPr>
            <b/>
            <sz val="8"/>
            <rFont val="Tahoma"/>
            <family val="0"/>
          </rPr>
          <t>NIST
P171
75PSF</t>
        </r>
      </text>
    </comment>
    <comment ref="V17" authorId="0">
      <text>
        <r>
          <rPr>
            <b/>
            <sz val="8"/>
            <rFont val="Tahoma"/>
            <family val="0"/>
          </rPr>
          <t>NIST
P171
75PSF</t>
        </r>
      </text>
    </comment>
    <comment ref="V18" authorId="0">
      <text>
        <r>
          <rPr>
            <b/>
            <sz val="8"/>
            <rFont val="Tahoma"/>
            <family val="0"/>
          </rPr>
          <t>NIST
P171
75PSF</t>
        </r>
      </text>
    </comment>
    <comment ref="V19" authorId="0">
      <text>
        <r>
          <rPr>
            <b/>
            <sz val="8"/>
            <rFont val="Tahoma"/>
            <family val="0"/>
          </rPr>
          <t>NIST
P171
75PSF</t>
        </r>
      </text>
    </comment>
    <comment ref="V20" authorId="0">
      <text>
        <r>
          <rPr>
            <b/>
            <sz val="8"/>
            <rFont val="Tahoma"/>
            <family val="0"/>
          </rPr>
          <t>NIST
P171
75PSF</t>
        </r>
      </text>
    </comment>
    <comment ref="V21" authorId="0">
      <text>
        <r>
          <rPr>
            <b/>
            <sz val="8"/>
            <rFont val="Tahoma"/>
            <family val="0"/>
          </rPr>
          <t>NIST
P171
75PSF</t>
        </r>
      </text>
    </comment>
    <comment ref="V22" authorId="0">
      <text>
        <r>
          <rPr>
            <b/>
            <sz val="8"/>
            <rFont val="Tahoma"/>
            <family val="0"/>
          </rPr>
          <t>NIST
P171
75PSF</t>
        </r>
      </text>
    </comment>
    <comment ref="V23" authorId="0">
      <text>
        <r>
          <rPr>
            <b/>
            <sz val="8"/>
            <rFont val="Tahoma"/>
            <family val="0"/>
          </rPr>
          <t>NIST
P171
75PSF</t>
        </r>
      </text>
    </comment>
    <comment ref="V24" authorId="0">
      <text>
        <r>
          <rPr>
            <b/>
            <sz val="8"/>
            <rFont val="Tahoma"/>
            <family val="0"/>
          </rPr>
          <t>NIST
P171
75PSF</t>
        </r>
      </text>
    </comment>
    <comment ref="V25" authorId="0">
      <text>
        <r>
          <rPr>
            <b/>
            <sz val="8"/>
            <rFont val="Tahoma"/>
            <family val="0"/>
          </rPr>
          <t>NIST
P171
75PSF</t>
        </r>
      </text>
    </comment>
    <comment ref="U12" authorId="0">
      <text>
        <r>
          <rPr>
            <b/>
            <sz val="8"/>
            <rFont val="Tahoma"/>
            <family val="0"/>
          </rPr>
          <t>NIST
P171
33PSF</t>
        </r>
      </text>
    </comment>
    <comment ref="V12" authorId="0">
      <text>
        <r>
          <rPr>
            <b/>
            <sz val="8"/>
            <rFont val="Tahoma"/>
            <family val="0"/>
          </rPr>
          <t>NIST
P171
75PSF</t>
        </r>
      </text>
    </comment>
    <comment ref="U26" authorId="0">
      <text>
        <r>
          <rPr>
            <b/>
            <sz val="8"/>
            <rFont val="Tahoma"/>
            <family val="0"/>
          </rPr>
          <t>NIST
P171
33PSF</t>
        </r>
      </text>
    </comment>
    <comment ref="V26" authorId="0">
      <text>
        <r>
          <rPr>
            <b/>
            <sz val="8"/>
            <rFont val="Tahoma"/>
            <family val="0"/>
          </rPr>
          <t>NIST
P171
75PSF</t>
        </r>
      </text>
    </comment>
    <comment ref="U35" authorId="0">
      <text>
        <r>
          <rPr>
            <b/>
            <sz val="8"/>
            <rFont val="Tahoma"/>
            <family val="0"/>
          </rPr>
          <t>NIST
P171
33PSF</t>
        </r>
      </text>
    </comment>
    <comment ref="U36" authorId="0">
      <text>
        <r>
          <rPr>
            <b/>
            <sz val="8"/>
            <rFont val="Tahoma"/>
            <family val="0"/>
          </rPr>
          <t>NIST
P171
33PSF</t>
        </r>
      </text>
    </comment>
    <comment ref="U37" authorId="0">
      <text>
        <r>
          <rPr>
            <b/>
            <sz val="8"/>
            <rFont val="Tahoma"/>
            <family val="0"/>
          </rPr>
          <t>NIST
P171
33PSF</t>
        </r>
      </text>
    </comment>
    <comment ref="U38" authorId="0">
      <text>
        <r>
          <rPr>
            <b/>
            <sz val="8"/>
            <rFont val="Tahoma"/>
            <family val="0"/>
          </rPr>
          <t>NIST
P171
33PSF</t>
        </r>
      </text>
    </comment>
    <comment ref="U39" authorId="0">
      <text>
        <r>
          <rPr>
            <b/>
            <sz val="8"/>
            <rFont val="Tahoma"/>
            <family val="0"/>
          </rPr>
          <t>NIST
P171
33PSF</t>
        </r>
      </text>
    </comment>
    <comment ref="U40" authorId="0">
      <text>
        <r>
          <rPr>
            <b/>
            <sz val="8"/>
            <rFont val="Tahoma"/>
            <family val="0"/>
          </rPr>
          <t>NIST
P171
33PSF</t>
        </r>
      </text>
    </comment>
    <comment ref="V35" authorId="0">
      <text>
        <r>
          <rPr>
            <b/>
            <sz val="8"/>
            <rFont val="Tahoma"/>
            <family val="0"/>
          </rPr>
          <t>NIST
P171
75PSF</t>
        </r>
      </text>
    </comment>
    <comment ref="V36" authorId="0">
      <text>
        <r>
          <rPr>
            <b/>
            <sz val="8"/>
            <rFont val="Tahoma"/>
            <family val="0"/>
          </rPr>
          <t>NIST
P171
75PSF</t>
        </r>
      </text>
    </comment>
    <comment ref="V37" authorId="0">
      <text>
        <r>
          <rPr>
            <b/>
            <sz val="8"/>
            <rFont val="Tahoma"/>
            <family val="0"/>
          </rPr>
          <t>NIST
P171
75PSF</t>
        </r>
      </text>
    </comment>
    <comment ref="V38" authorId="0">
      <text>
        <r>
          <rPr>
            <b/>
            <sz val="8"/>
            <rFont val="Tahoma"/>
            <family val="0"/>
          </rPr>
          <t>NIST
P171
75PSF</t>
        </r>
      </text>
    </comment>
    <comment ref="V39" authorId="0">
      <text>
        <r>
          <rPr>
            <b/>
            <sz val="8"/>
            <rFont val="Tahoma"/>
            <family val="0"/>
          </rPr>
          <t>NIST
P171
75PSF</t>
        </r>
      </text>
    </comment>
    <comment ref="V40" authorId="0">
      <text>
        <r>
          <rPr>
            <b/>
            <sz val="8"/>
            <rFont val="Tahoma"/>
            <family val="0"/>
          </rPr>
          <t>NIST
P171
75PSF</t>
        </r>
      </text>
    </comment>
    <comment ref="U51" authorId="0">
      <text>
        <r>
          <rPr>
            <b/>
            <sz val="8"/>
            <rFont val="Tahoma"/>
            <family val="0"/>
          </rPr>
          <t>NIST
P171
33PSF</t>
        </r>
      </text>
    </comment>
    <comment ref="V51" authorId="0">
      <text>
        <r>
          <rPr>
            <b/>
            <sz val="8"/>
            <rFont val="Tahoma"/>
            <family val="0"/>
          </rPr>
          <t>NIST
P171
75PSF</t>
        </r>
      </text>
    </comment>
    <comment ref="U59" authorId="0">
      <text>
        <r>
          <rPr>
            <b/>
            <sz val="8"/>
            <rFont val="Tahoma"/>
            <family val="0"/>
          </rPr>
          <t>NIST
P171
33PSF</t>
        </r>
      </text>
    </comment>
    <comment ref="V59" authorId="0">
      <text>
        <r>
          <rPr>
            <b/>
            <sz val="8"/>
            <rFont val="Tahoma"/>
            <family val="0"/>
          </rPr>
          <t>NIST
P171
75PSF</t>
        </r>
      </text>
    </comment>
    <comment ref="U69" authorId="0">
      <text>
        <r>
          <rPr>
            <b/>
            <sz val="8"/>
            <rFont val="Tahoma"/>
            <family val="0"/>
          </rPr>
          <t>NIST
P171
33PSF</t>
        </r>
      </text>
    </comment>
    <comment ref="U70" authorId="0">
      <text>
        <r>
          <rPr>
            <b/>
            <sz val="8"/>
            <rFont val="Tahoma"/>
            <family val="0"/>
          </rPr>
          <t>NIST
P171
33PSF</t>
        </r>
      </text>
    </comment>
    <comment ref="U71" authorId="0">
      <text>
        <r>
          <rPr>
            <b/>
            <sz val="8"/>
            <rFont val="Tahoma"/>
            <family val="0"/>
          </rPr>
          <t>NIST
P171
33PSF</t>
        </r>
      </text>
    </comment>
    <comment ref="U72" authorId="0">
      <text>
        <r>
          <rPr>
            <b/>
            <sz val="8"/>
            <rFont val="Tahoma"/>
            <family val="0"/>
          </rPr>
          <t>NIST
P171
33PSF</t>
        </r>
      </text>
    </comment>
    <comment ref="U73" authorId="0">
      <text>
        <r>
          <rPr>
            <b/>
            <sz val="8"/>
            <rFont val="Tahoma"/>
            <family val="0"/>
          </rPr>
          <t>NIST
P171
33PSF</t>
        </r>
      </text>
    </comment>
    <comment ref="U74" authorId="0">
      <text>
        <r>
          <rPr>
            <b/>
            <sz val="8"/>
            <rFont val="Tahoma"/>
            <family val="0"/>
          </rPr>
          <t>NIST
P171
33PSF</t>
        </r>
      </text>
    </comment>
    <comment ref="V69" authorId="0">
      <text>
        <r>
          <rPr>
            <b/>
            <sz val="8"/>
            <rFont val="Tahoma"/>
            <family val="0"/>
          </rPr>
          <t>NIST
P171
75PSF</t>
        </r>
      </text>
    </comment>
    <comment ref="V70" authorId="0">
      <text>
        <r>
          <rPr>
            <b/>
            <sz val="8"/>
            <rFont val="Tahoma"/>
            <family val="0"/>
          </rPr>
          <t>NIST
P171
75PSF</t>
        </r>
      </text>
    </comment>
    <comment ref="V71" authorId="0">
      <text>
        <r>
          <rPr>
            <b/>
            <sz val="8"/>
            <rFont val="Tahoma"/>
            <family val="0"/>
          </rPr>
          <t>NIST
P171
75PSF</t>
        </r>
      </text>
    </comment>
    <comment ref="V72" authorId="0">
      <text>
        <r>
          <rPr>
            <b/>
            <sz val="8"/>
            <rFont val="Tahoma"/>
            <family val="0"/>
          </rPr>
          <t>NIST
P171
75PSF</t>
        </r>
      </text>
    </comment>
    <comment ref="V73" authorId="0">
      <text>
        <r>
          <rPr>
            <b/>
            <sz val="8"/>
            <rFont val="Tahoma"/>
            <family val="0"/>
          </rPr>
          <t>NIST
P171
75PSF</t>
        </r>
      </text>
    </comment>
    <comment ref="V74" authorId="0">
      <text>
        <r>
          <rPr>
            <b/>
            <sz val="8"/>
            <rFont val="Tahoma"/>
            <family val="0"/>
          </rPr>
          <t>NIST
P171
75PSF</t>
        </r>
      </text>
    </comment>
    <comment ref="U93" authorId="0">
      <text>
        <r>
          <rPr>
            <b/>
            <sz val="8"/>
            <rFont val="Tahoma"/>
            <family val="0"/>
          </rPr>
          <t>NIST
P171
33PSF</t>
        </r>
      </text>
    </comment>
    <comment ref="V93" authorId="0">
      <text>
        <r>
          <rPr>
            <b/>
            <sz val="8"/>
            <rFont val="Tahoma"/>
            <family val="0"/>
          </rPr>
          <t>NIST
P171
75PSF</t>
        </r>
      </text>
    </comment>
    <comment ref="U105" authorId="0">
      <text>
        <r>
          <rPr>
            <b/>
            <sz val="8"/>
            <rFont val="Tahoma"/>
            <family val="0"/>
          </rPr>
          <t>NIST
P171
33PSF</t>
        </r>
      </text>
    </comment>
    <comment ref="U106" authorId="0">
      <text>
        <r>
          <rPr>
            <b/>
            <sz val="8"/>
            <rFont val="Tahoma"/>
            <family val="0"/>
          </rPr>
          <t>NIST
P171
33PSF</t>
        </r>
      </text>
    </comment>
    <comment ref="U107" authorId="0">
      <text>
        <r>
          <rPr>
            <b/>
            <sz val="8"/>
            <rFont val="Tahoma"/>
            <family val="0"/>
          </rPr>
          <t>NIST
P171
33PSF</t>
        </r>
      </text>
    </comment>
    <comment ref="U108" authorId="0">
      <text>
        <r>
          <rPr>
            <b/>
            <sz val="8"/>
            <rFont val="Tahoma"/>
            <family val="0"/>
          </rPr>
          <t>NIST
P171
33PSF</t>
        </r>
      </text>
    </comment>
    <comment ref="V105" authorId="0">
      <text>
        <r>
          <rPr>
            <b/>
            <sz val="8"/>
            <rFont val="Tahoma"/>
            <family val="0"/>
          </rPr>
          <t>NIST
P171
75PSF</t>
        </r>
      </text>
    </comment>
    <comment ref="V106" authorId="0">
      <text>
        <r>
          <rPr>
            <b/>
            <sz val="8"/>
            <rFont val="Tahoma"/>
            <family val="0"/>
          </rPr>
          <t>NIST
P171
75PSF</t>
        </r>
      </text>
    </comment>
    <comment ref="V107" authorId="0">
      <text>
        <r>
          <rPr>
            <b/>
            <sz val="8"/>
            <rFont val="Tahoma"/>
            <family val="0"/>
          </rPr>
          <t>NIST
P171
75PSF</t>
        </r>
      </text>
    </comment>
    <comment ref="V108" authorId="0">
      <text>
        <r>
          <rPr>
            <b/>
            <sz val="8"/>
            <rFont val="Tahoma"/>
            <family val="0"/>
          </rPr>
          <t>NIST
P171
75PSF</t>
        </r>
      </text>
    </comment>
    <comment ref="U9" authorId="0">
      <text>
        <r>
          <rPr>
            <b/>
            <sz val="8"/>
            <rFont val="Tahoma"/>
            <family val="0"/>
          </rPr>
          <t>NIST
P175
66PSF</t>
        </r>
      </text>
    </comment>
    <comment ref="U10" authorId="0">
      <text>
        <r>
          <rPr>
            <b/>
            <sz val="8"/>
            <rFont val="Tahoma"/>
            <family val="0"/>
          </rPr>
          <t>NIST
P175
66PSF</t>
        </r>
      </text>
    </comment>
    <comment ref="V9" authorId="0">
      <text>
        <r>
          <rPr>
            <b/>
            <sz val="8"/>
            <rFont val="Tahoma"/>
            <family val="0"/>
          </rPr>
          <t>NIST
P175
75PSF</t>
        </r>
      </text>
    </comment>
    <comment ref="V10" authorId="0">
      <text>
        <r>
          <rPr>
            <b/>
            <sz val="8"/>
            <rFont val="Tahoma"/>
            <family val="0"/>
          </rPr>
          <t>NIST
P175
75PSF</t>
        </r>
      </text>
    </comment>
    <comment ref="U42" authorId="0">
      <text>
        <r>
          <rPr>
            <b/>
            <sz val="8"/>
            <rFont val="Tahoma"/>
            <family val="0"/>
          </rPr>
          <t>NIST
P175
66PSF</t>
        </r>
      </text>
    </comment>
    <comment ref="U43" authorId="0">
      <text>
        <r>
          <rPr>
            <b/>
            <sz val="8"/>
            <rFont val="Tahoma"/>
            <family val="0"/>
          </rPr>
          <t>NIST
P175
66PSF</t>
        </r>
      </text>
    </comment>
    <comment ref="V42" authorId="0">
      <text>
        <r>
          <rPr>
            <b/>
            <sz val="8"/>
            <rFont val="Tahoma"/>
            <family val="0"/>
          </rPr>
          <t>NIST
P175
75PSF</t>
        </r>
      </text>
    </comment>
    <comment ref="V43" authorId="0">
      <text>
        <r>
          <rPr>
            <b/>
            <sz val="8"/>
            <rFont val="Tahoma"/>
            <family val="0"/>
          </rPr>
          <t>NIST
P175
75PSF</t>
        </r>
      </text>
    </comment>
    <comment ref="U76" authorId="0">
      <text>
        <r>
          <rPr>
            <b/>
            <sz val="8"/>
            <rFont val="Tahoma"/>
            <family val="0"/>
          </rPr>
          <t>NIST
P175
66PSF</t>
        </r>
      </text>
    </comment>
    <comment ref="U77" authorId="0">
      <text>
        <r>
          <rPr>
            <b/>
            <sz val="8"/>
            <rFont val="Tahoma"/>
            <family val="0"/>
          </rPr>
          <t>NIST
P175
66PSF</t>
        </r>
      </text>
    </comment>
    <comment ref="V76" authorId="0">
      <text>
        <r>
          <rPr>
            <b/>
            <sz val="8"/>
            <rFont val="Tahoma"/>
            <family val="0"/>
          </rPr>
          <t>NIST
P175
75PSF</t>
        </r>
      </text>
    </comment>
    <comment ref="V77" authorId="0">
      <text>
        <r>
          <rPr>
            <b/>
            <sz val="8"/>
            <rFont val="Tahoma"/>
            <family val="0"/>
          </rPr>
          <t>NIST
P175
75PSF</t>
        </r>
      </text>
    </comment>
    <comment ref="U110" authorId="0">
      <text>
        <r>
          <rPr>
            <b/>
            <sz val="8"/>
            <rFont val="Tahoma"/>
            <family val="0"/>
          </rPr>
          <t>NIST
P175
66PSF</t>
        </r>
      </text>
    </comment>
    <comment ref="U111" authorId="0">
      <text>
        <r>
          <rPr>
            <b/>
            <sz val="8"/>
            <rFont val="Tahoma"/>
            <family val="0"/>
          </rPr>
          <t>NIST
P175
66PSF</t>
        </r>
      </text>
    </comment>
    <comment ref="V110" authorId="0">
      <text>
        <r>
          <rPr>
            <b/>
            <sz val="8"/>
            <rFont val="Tahoma"/>
            <family val="0"/>
          </rPr>
          <t>NIST
P175
75PSF</t>
        </r>
      </text>
    </comment>
    <comment ref="V111" authorId="0">
      <text>
        <r>
          <rPr>
            <b/>
            <sz val="8"/>
            <rFont val="Tahoma"/>
            <family val="0"/>
          </rPr>
          <t>NIST
P175
75PSF</t>
        </r>
      </text>
    </comment>
    <comment ref="U116" authorId="0">
      <text>
        <r>
          <rPr>
            <b/>
            <sz val="8"/>
            <rFont val="Tahoma"/>
            <family val="0"/>
          </rPr>
          <t>NIST
P175
66PSF</t>
        </r>
      </text>
    </comment>
    <comment ref="V116" authorId="0">
      <text>
        <r>
          <rPr>
            <b/>
            <sz val="8"/>
            <rFont val="Tahoma"/>
            <family val="0"/>
          </rPr>
          <t>NIST
P175
75PSF</t>
        </r>
      </text>
    </comment>
    <comment ref="Q8" authorId="0">
      <text>
        <r>
          <rPr>
            <b/>
            <sz val="8"/>
            <rFont val="Tahoma"/>
            <family val="0"/>
          </rPr>
          <t>NIST
P174
75PSF</t>
        </r>
      </text>
    </comment>
    <comment ref="Q117" authorId="0">
      <text>
        <r>
          <rPr>
            <b/>
            <sz val="8"/>
            <rFont val="Tahoma"/>
            <family val="0"/>
          </rPr>
          <t>NIST
P174
75PSF</t>
        </r>
      </text>
    </comment>
    <comment ref="R117" authorId="0">
      <text>
        <r>
          <rPr>
            <b/>
            <sz val="8"/>
            <rFont val="Tahoma"/>
            <family val="0"/>
          </rPr>
          <t>NIST
P174
75PSF</t>
        </r>
      </text>
    </comment>
    <comment ref="P8" authorId="0">
      <text>
        <r>
          <rPr>
            <b/>
            <sz val="8"/>
            <rFont val="Tahoma"/>
            <family val="0"/>
          </rPr>
          <t xml:space="preserve">NOT STATED
ASSUMED 75PSF
TO ACCOUNT FOR
STEEL MASS ADDITON
</t>
        </r>
      </text>
    </comment>
    <comment ref="P117" authorId="0">
      <text>
        <r>
          <rPr>
            <b/>
            <sz val="8"/>
            <rFont val="Tahoma"/>
            <family val="0"/>
          </rPr>
          <t xml:space="preserve">NOT STATED
ASSUMED 75PSF
TO ACCOUNT FOR
STEEL MASS ADDITON
</t>
        </r>
      </text>
    </comment>
    <comment ref="P118" authorId="0">
      <text>
        <r>
          <rPr>
            <b/>
            <sz val="8"/>
            <rFont val="Tahoma"/>
            <family val="0"/>
          </rPr>
          <t xml:space="preserve">NOT STATED
ASSUMED 75PSF
TO ACCOUNT FOR
STEEL MASS ADDITON
</t>
        </r>
      </text>
    </comment>
    <comment ref="P119" authorId="0">
      <text>
        <r>
          <rPr>
            <b/>
            <sz val="8"/>
            <rFont val="Tahoma"/>
            <family val="0"/>
          </rPr>
          <t xml:space="preserve">NOT STATED
ASSUMED 75PSF
TO ACCOUNT FOR
STEEL MASS ADDITON
</t>
        </r>
      </text>
    </comment>
    <comment ref="P120" authorId="0">
      <text>
        <r>
          <rPr>
            <b/>
            <sz val="8"/>
            <rFont val="Tahoma"/>
            <family val="0"/>
          </rPr>
          <t xml:space="preserve">NOT STATED
ASSUMED 75PSF
TO ACCOUNT FOR
STEEL MASS ADDITON
</t>
        </r>
      </text>
    </comment>
    <comment ref="P121" authorId="0">
      <text>
        <r>
          <rPr>
            <b/>
            <sz val="8"/>
            <rFont val="Tahoma"/>
            <family val="0"/>
          </rPr>
          <t xml:space="preserve">NOT STATED
ASSUMED 75PSF
TO ACCOUNT FOR
STEEL MASS ADDITON
</t>
        </r>
      </text>
    </comment>
    <comment ref="P122" authorId="0">
      <text>
        <r>
          <rPr>
            <b/>
            <sz val="8"/>
            <rFont val="Tahoma"/>
            <family val="0"/>
          </rPr>
          <t xml:space="preserve">NOT STATED
ASSUMED 75PSF
TO ACCOUNT FOR
STEEL MASS ADDITON
</t>
        </r>
      </text>
    </comment>
    <comment ref="P123" authorId="0">
      <text>
        <r>
          <rPr>
            <b/>
            <sz val="8"/>
            <rFont val="Tahoma"/>
            <family val="0"/>
          </rPr>
          <t xml:space="preserve">NOT STATED
ASSUMED 75PSF
TO ACCOUNT FOR
STEEL MASS ADDITON
</t>
        </r>
      </text>
    </comment>
    <comment ref="U117" authorId="0">
      <text>
        <r>
          <rPr>
            <b/>
            <sz val="8"/>
            <rFont val="Tahoma"/>
            <family val="0"/>
          </rPr>
          <t>NIST
P175
66PSF</t>
        </r>
      </text>
    </comment>
    <comment ref="U118" authorId="0">
      <text>
        <r>
          <rPr>
            <b/>
            <sz val="8"/>
            <rFont val="Tahoma"/>
            <family val="0"/>
          </rPr>
          <t>NIST
P175
66PSF</t>
        </r>
      </text>
    </comment>
    <comment ref="U119" authorId="0">
      <text>
        <r>
          <rPr>
            <b/>
            <sz val="8"/>
            <rFont val="Tahoma"/>
            <family val="0"/>
          </rPr>
          <t>NIST
P175
66PSF</t>
        </r>
      </text>
    </comment>
    <comment ref="U120" authorId="0">
      <text>
        <r>
          <rPr>
            <b/>
            <sz val="8"/>
            <rFont val="Tahoma"/>
            <family val="0"/>
          </rPr>
          <t>NIST
P175
66PSF</t>
        </r>
      </text>
    </comment>
    <comment ref="U121" authorId="0">
      <text>
        <r>
          <rPr>
            <b/>
            <sz val="8"/>
            <rFont val="Tahoma"/>
            <family val="0"/>
          </rPr>
          <t>NIST
P175
66PSF</t>
        </r>
      </text>
    </comment>
    <comment ref="U122" authorId="0">
      <text>
        <r>
          <rPr>
            <b/>
            <sz val="8"/>
            <rFont val="Tahoma"/>
            <family val="0"/>
          </rPr>
          <t>NIST
P175
66PSF</t>
        </r>
      </text>
    </comment>
    <comment ref="U123" authorId="0">
      <text>
        <r>
          <rPr>
            <b/>
            <sz val="8"/>
            <rFont val="Tahoma"/>
            <family val="0"/>
          </rPr>
          <t>NIST
P175
66PSF</t>
        </r>
      </text>
    </comment>
    <comment ref="V117" authorId="0">
      <text>
        <r>
          <rPr>
            <b/>
            <sz val="8"/>
            <rFont val="Tahoma"/>
            <family val="0"/>
          </rPr>
          <t>NIST
P175
75PSF</t>
        </r>
      </text>
    </comment>
    <comment ref="T5" authorId="0">
      <text>
        <r>
          <rPr>
            <b/>
            <sz val="8"/>
            <rFont val="Tahoma"/>
            <family val="0"/>
          </rPr>
          <t>NIST
CDL not specified.
All CDL specified as part of 'Steel'</t>
        </r>
      </text>
    </comment>
    <comment ref="P9" authorId="0">
      <text>
        <r>
          <rPr>
            <b/>
            <sz val="8"/>
            <rFont val="Tahoma"/>
            <family val="0"/>
          </rPr>
          <t xml:space="preserve">NOT STATED
ASSUMED 75PSF
TO ACCOUNT FOR
STEEL MASS ADDITON
</t>
        </r>
      </text>
    </comment>
    <comment ref="P10" authorId="0">
      <text>
        <r>
          <rPr>
            <b/>
            <sz val="8"/>
            <rFont val="Tahoma"/>
            <family val="0"/>
          </rPr>
          <t xml:space="preserve">NOT STATED
ASSUMED 75PSF
TO ACCOUNT FOR
STEEL MASS ADDITON
</t>
        </r>
      </text>
    </comment>
    <comment ref="P11" authorId="0">
      <text>
        <r>
          <rPr>
            <b/>
            <sz val="8"/>
            <rFont val="Tahoma"/>
            <family val="0"/>
          </rPr>
          <t xml:space="preserve">NOT STATED
ASSUMED 75PSF
TO ACCOUNT FOR
STEEL MASS ADDITON
</t>
        </r>
      </text>
    </comment>
    <comment ref="Q9" authorId="0">
      <text>
        <r>
          <rPr>
            <b/>
            <sz val="8"/>
            <rFont val="Tahoma"/>
            <family val="0"/>
          </rPr>
          <t>NIST
P174
75PSF</t>
        </r>
      </text>
    </comment>
    <comment ref="Q10" authorId="0">
      <text>
        <r>
          <rPr>
            <b/>
            <sz val="8"/>
            <rFont val="Tahoma"/>
            <family val="0"/>
          </rPr>
          <t>NIST
P174
75PSF</t>
        </r>
      </text>
    </comment>
    <comment ref="Q11" authorId="0">
      <text>
        <r>
          <rPr>
            <b/>
            <sz val="8"/>
            <rFont val="Tahoma"/>
            <family val="0"/>
          </rPr>
          <t>NIST
P174
75PSF</t>
        </r>
      </text>
    </comment>
    <comment ref="R9" authorId="0">
      <text>
        <r>
          <rPr>
            <b/>
            <sz val="8"/>
            <rFont val="Tahoma"/>
            <family val="0"/>
          </rPr>
          <t>NIST
P174
75PSF</t>
        </r>
      </text>
    </comment>
    <comment ref="R10" authorId="0">
      <text>
        <r>
          <rPr>
            <b/>
            <sz val="8"/>
            <rFont val="Tahoma"/>
            <family val="0"/>
          </rPr>
          <t>NIST
P174
75PSF</t>
        </r>
      </text>
    </comment>
    <comment ref="R11" authorId="0">
      <text>
        <r>
          <rPr>
            <b/>
            <sz val="8"/>
            <rFont val="Tahoma"/>
            <family val="0"/>
          </rPr>
          <t>NIST
P174
75PSF</t>
        </r>
      </text>
    </comment>
    <comment ref="R8" authorId="0">
      <text>
        <r>
          <rPr>
            <b/>
            <sz val="8"/>
            <rFont val="Tahoma"/>
            <family val="0"/>
          </rPr>
          <t>50psf</t>
        </r>
      </text>
    </comment>
    <comment ref="P41" authorId="0">
      <text>
        <r>
          <rPr>
            <b/>
            <sz val="8"/>
            <rFont val="Tahoma"/>
            <family val="0"/>
          </rPr>
          <t xml:space="preserve">NOT STATED
ASSUMED 75PSF
TO ACCOUNT FOR
STEEL MASS ADDITON
</t>
        </r>
      </text>
    </comment>
    <comment ref="P42" authorId="0">
      <text>
        <r>
          <rPr>
            <b/>
            <sz val="8"/>
            <rFont val="Tahoma"/>
            <family val="0"/>
          </rPr>
          <t xml:space="preserve">NOT STATED
ASSUMED 75PSF
TO ACCOUNT FOR
STEEL MASS ADDITON
</t>
        </r>
      </text>
    </comment>
    <comment ref="P43" authorId="0">
      <text>
        <r>
          <rPr>
            <b/>
            <sz val="8"/>
            <rFont val="Tahoma"/>
            <family val="0"/>
          </rPr>
          <t xml:space="preserve">NOT STATED
ASSUMED 75PSF
TO ACCOUNT FOR
STEEL MASS ADDITON
</t>
        </r>
      </text>
    </comment>
    <comment ref="P75" authorId="0">
      <text>
        <r>
          <rPr>
            <b/>
            <sz val="8"/>
            <rFont val="Tahoma"/>
            <family val="0"/>
          </rPr>
          <t xml:space="preserve">NOT STATED
ASSUMED 75PSF
TO ACCOUNT FOR
STEEL MASS ADDITON
</t>
        </r>
      </text>
    </comment>
    <comment ref="P76" authorId="0">
      <text>
        <r>
          <rPr>
            <b/>
            <sz val="8"/>
            <rFont val="Tahoma"/>
            <family val="0"/>
          </rPr>
          <t xml:space="preserve">NOT STATED
ASSUMED 75PSF
TO ACCOUNT FOR
STEEL MASS ADDITON
</t>
        </r>
      </text>
    </comment>
    <comment ref="P77" authorId="0">
      <text>
        <r>
          <rPr>
            <b/>
            <sz val="8"/>
            <rFont val="Tahoma"/>
            <family val="0"/>
          </rPr>
          <t xml:space="preserve">NOT STATED
ASSUMED 75PSF
TO ACCOUNT FOR
STEEL MASS ADDITON
</t>
        </r>
      </text>
    </comment>
    <comment ref="P109" authorId="0">
      <text>
        <r>
          <rPr>
            <b/>
            <sz val="8"/>
            <rFont val="Tahoma"/>
            <family val="0"/>
          </rPr>
          <t xml:space="preserve">NOT STATED
ASSUMED 75PSF
TO ACCOUNT FOR
STEEL MASS ADDITON
</t>
        </r>
      </text>
    </comment>
    <comment ref="P110" authorId="0">
      <text>
        <r>
          <rPr>
            <b/>
            <sz val="8"/>
            <rFont val="Tahoma"/>
            <family val="0"/>
          </rPr>
          <t xml:space="preserve">NOT STATED
ASSUMED 75PSF
TO ACCOUNT FOR
STEEL MASS ADDITON
</t>
        </r>
      </text>
    </comment>
    <comment ref="P111" authorId="0">
      <text>
        <r>
          <rPr>
            <b/>
            <sz val="8"/>
            <rFont val="Tahoma"/>
            <family val="0"/>
          </rPr>
          <t xml:space="preserve">NOT STATED
ASSUMED 75PSF
TO ACCOUNT FOR
STEEL MASS ADDITON
</t>
        </r>
      </text>
    </comment>
    <comment ref="P113" authorId="0">
      <text>
        <r>
          <rPr>
            <b/>
            <sz val="8"/>
            <rFont val="Tahoma"/>
            <family val="0"/>
          </rPr>
          <t xml:space="preserve">NOT STATED
ASSUMED 0
</t>
        </r>
      </text>
    </comment>
    <comment ref="P116" authorId="0">
      <text>
        <r>
          <rPr>
            <b/>
            <sz val="8"/>
            <rFont val="Tahoma"/>
            <family val="0"/>
          </rPr>
          <t xml:space="preserve">NOT STATED
ASSUMED 75PSF
TO ACCOUNT FOR
STEEL MASS ADDITON
</t>
        </r>
      </text>
    </comment>
    <comment ref="Q41" authorId="0">
      <text>
        <r>
          <rPr>
            <b/>
            <sz val="8"/>
            <rFont val="Tahoma"/>
            <family val="0"/>
          </rPr>
          <t>NIST
P174
75PSF</t>
        </r>
      </text>
    </comment>
    <comment ref="Q42" authorId="0">
      <text>
        <r>
          <rPr>
            <b/>
            <sz val="8"/>
            <rFont val="Tahoma"/>
            <family val="0"/>
          </rPr>
          <t>NIST
P174
75PSF</t>
        </r>
      </text>
    </comment>
    <comment ref="Q43" authorId="0">
      <text>
        <r>
          <rPr>
            <b/>
            <sz val="8"/>
            <rFont val="Tahoma"/>
            <family val="0"/>
          </rPr>
          <t>NIST
P174
75PSF</t>
        </r>
      </text>
    </comment>
    <comment ref="Q75" authorId="0">
      <text>
        <r>
          <rPr>
            <b/>
            <sz val="8"/>
            <rFont val="Tahoma"/>
            <family val="0"/>
          </rPr>
          <t>NIST
P174
75PSF</t>
        </r>
      </text>
    </comment>
    <comment ref="Q76" authorId="0">
      <text>
        <r>
          <rPr>
            <b/>
            <sz val="8"/>
            <rFont val="Tahoma"/>
            <family val="0"/>
          </rPr>
          <t>NIST
P174
75PSF</t>
        </r>
      </text>
    </comment>
    <comment ref="Q77" authorId="0">
      <text>
        <r>
          <rPr>
            <b/>
            <sz val="8"/>
            <rFont val="Tahoma"/>
            <family val="0"/>
          </rPr>
          <t>NIST
P174
75PSF</t>
        </r>
      </text>
    </comment>
    <comment ref="Q109" authorId="0">
      <text>
        <r>
          <rPr>
            <b/>
            <sz val="8"/>
            <rFont val="Tahoma"/>
            <family val="0"/>
          </rPr>
          <t>NIST
P174
75PSF</t>
        </r>
      </text>
    </comment>
    <comment ref="Q110" authorId="0">
      <text>
        <r>
          <rPr>
            <b/>
            <sz val="8"/>
            <rFont val="Tahoma"/>
            <family val="0"/>
          </rPr>
          <t>NIST
P174
75PSF</t>
        </r>
      </text>
    </comment>
    <comment ref="Q111" authorId="0">
      <text>
        <r>
          <rPr>
            <b/>
            <sz val="8"/>
            <rFont val="Tahoma"/>
            <family val="0"/>
          </rPr>
          <t>NIST
P174
75PSF</t>
        </r>
      </text>
    </comment>
    <comment ref="Q116" authorId="0">
      <text>
        <r>
          <rPr>
            <b/>
            <sz val="8"/>
            <rFont val="Tahoma"/>
            <family val="0"/>
          </rPr>
          <t>NIST
P174
75PSF</t>
        </r>
      </text>
    </comment>
    <comment ref="R109" authorId="0">
      <text>
        <r>
          <rPr>
            <b/>
            <sz val="8"/>
            <rFont val="Tahoma"/>
            <family val="0"/>
          </rPr>
          <t>NIST
P174
75PSF</t>
        </r>
      </text>
    </comment>
    <comment ref="R110" authorId="0">
      <text>
        <r>
          <rPr>
            <b/>
            <sz val="8"/>
            <rFont val="Tahoma"/>
            <family val="0"/>
          </rPr>
          <t>NIST
P174
75PSF</t>
        </r>
      </text>
    </comment>
    <comment ref="R111" authorId="0">
      <text>
        <r>
          <rPr>
            <b/>
            <sz val="8"/>
            <rFont val="Tahoma"/>
            <family val="0"/>
          </rPr>
          <t>NIST
P174
75PSF</t>
        </r>
      </text>
    </comment>
    <comment ref="R116" authorId="0">
      <text>
        <r>
          <rPr>
            <b/>
            <sz val="8"/>
            <rFont val="Tahoma"/>
            <family val="0"/>
          </rPr>
          <t>NIST
P174
75PSF</t>
        </r>
      </text>
    </comment>
    <comment ref="R75" authorId="0">
      <text>
        <r>
          <rPr>
            <b/>
            <sz val="8"/>
            <rFont val="Tahoma"/>
            <family val="0"/>
          </rPr>
          <t>NIST
P174
75PSF</t>
        </r>
      </text>
    </comment>
    <comment ref="R76" authorId="0">
      <text>
        <r>
          <rPr>
            <b/>
            <sz val="8"/>
            <rFont val="Tahoma"/>
            <family val="0"/>
          </rPr>
          <t>NIST
P174
75PSF</t>
        </r>
      </text>
    </comment>
    <comment ref="R77" authorId="0">
      <text>
        <r>
          <rPr>
            <b/>
            <sz val="8"/>
            <rFont val="Tahoma"/>
            <family val="0"/>
          </rPr>
          <t>NIST
P174
75PSF</t>
        </r>
      </text>
    </comment>
    <comment ref="R41" authorId="0">
      <text>
        <r>
          <rPr>
            <b/>
            <sz val="8"/>
            <rFont val="Tahoma"/>
            <family val="0"/>
          </rPr>
          <t>NIST
P174
75PSF</t>
        </r>
      </text>
    </comment>
    <comment ref="R42" authorId="0">
      <text>
        <r>
          <rPr>
            <b/>
            <sz val="8"/>
            <rFont val="Tahoma"/>
            <family val="0"/>
          </rPr>
          <t>NIST
P174
75PSF</t>
        </r>
      </text>
    </comment>
    <comment ref="R43" authorId="0">
      <text>
        <r>
          <rPr>
            <b/>
            <sz val="8"/>
            <rFont val="Tahoma"/>
            <family val="0"/>
          </rPr>
          <t>NIST
P174
75PSF</t>
        </r>
      </text>
    </comment>
    <comment ref="Q13" authorId="0">
      <text>
        <r>
          <rPr>
            <b/>
            <sz val="8"/>
            <rFont val="Tahoma"/>
            <family val="0"/>
          </rPr>
          <t>15psf</t>
        </r>
      </text>
    </comment>
    <comment ref="Q14" authorId="0">
      <text>
        <r>
          <rPr>
            <b/>
            <sz val="8"/>
            <rFont val="Tahoma"/>
            <family val="0"/>
          </rPr>
          <t>15psf</t>
        </r>
      </text>
    </comment>
    <comment ref="Q15" authorId="0">
      <text>
        <r>
          <rPr>
            <b/>
            <sz val="8"/>
            <rFont val="Tahoma"/>
            <family val="0"/>
          </rPr>
          <t>15psf</t>
        </r>
      </text>
    </comment>
    <comment ref="Q16" authorId="0">
      <text>
        <r>
          <rPr>
            <b/>
            <sz val="8"/>
            <rFont val="Tahoma"/>
            <family val="0"/>
          </rPr>
          <t>15psf</t>
        </r>
      </text>
    </comment>
    <comment ref="Q17" authorId="0">
      <text>
        <r>
          <rPr>
            <b/>
            <sz val="8"/>
            <rFont val="Tahoma"/>
            <family val="0"/>
          </rPr>
          <t>15psf</t>
        </r>
      </text>
    </comment>
    <comment ref="Q18" authorId="0">
      <text>
        <r>
          <rPr>
            <b/>
            <sz val="8"/>
            <rFont val="Tahoma"/>
            <family val="0"/>
          </rPr>
          <t>15psf</t>
        </r>
      </text>
    </comment>
    <comment ref="Q19" authorId="0">
      <text>
        <r>
          <rPr>
            <b/>
            <sz val="8"/>
            <rFont val="Tahoma"/>
            <family val="0"/>
          </rPr>
          <t>15psf</t>
        </r>
      </text>
    </comment>
    <comment ref="Q20" authorId="0">
      <text>
        <r>
          <rPr>
            <b/>
            <sz val="8"/>
            <rFont val="Tahoma"/>
            <family val="0"/>
          </rPr>
          <t>15psf</t>
        </r>
      </text>
    </comment>
    <comment ref="Q21" authorId="0">
      <text>
        <r>
          <rPr>
            <b/>
            <sz val="8"/>
            <rFont val="Tahoma"/>
            <family val="0"/>
          </rPr>
          <t>15psf</t>
        </r>
      </text>
    </comment>
    <comment ref="Q22" authorId="0">
      <text>
        <r>
          <rPr>
            <b/>
            <sz val="8"/>
            <rFont val="Tahoma"/>
            <family val="0"/>
          </rPr>
          <t>15psf</t>
        </r>
      </text>
    </comment>
    <comment ref="Q23" authorId="0">
      <text>
        <r>
          <rPr>
            <b/>
            <sz val="8"/>
            <rFont val="Tahoma"/>
            <family val="0"/>
          </rPr>
          <t>15psf</t>
        </r>
      </text>
    </comment>
    <comment ref="Q24" authorId="0">
      <text>
        <r>
          <rPr>
            <b/>
            <sz val="8"/>
            <rFont val="Tahoma"/>
            <family val="0"/>
          </rPr>
          <t>15psf</t>
        </r>
      </text>
    </comment>
    <comment ref="Q25" authorId="0">
      <text>
        <r>
          <rPr>
            <b/>
            <sz val="8"/>
            <rFont val="Tahoma"/>
            <family val="0"/>
          </rPr>
          <t>15psf</t>
        </r>
      </text>
    </comment>
    <comment ref="Q27" authorId="0">
      <text>
        <r>
          <rPr>
            <b/>
            <sz val="8"/>
            <rFont val="Tahoma"/>
            <family val="0"/>
          </rPr>
          <t>15psf</t>
        </r>
      </text>
    </comment>
    <comment ref="Q28" authorId="0">
      <text>
        <r>
          <rPr>
            <b/>
            <sz val="8"/>
            <rFont val="Tahoma"/>
            <family val="0"/>
          </rPr>
          <t>15psf</t>
        </r>
      </text>
    </comment>
    <comment ref="Q29" authorId="0">
      <text>
        <r>
          <rPr>
            <b/>
            <sz val="8"/>
            <rFont val="Tahoma"/>
            <family val="0"/>
          </rPr>
          <t>15psf</t>
        </r>
      </text>
    </comment>
    <comment ref="Q30" authorId="0">
      <text>
        <r>
          <rPr>
            <b/>
            <sz val="8"/>
            <rFont val="Tahoma"/>
            <family val="0"/>
          </rPr>
          <t>15psf</t>
        </r>
      </text>
    </comment>
    <comment ref="Q31" authorId="0">
      <text>
        <r>
          <rPr>
            <b/>
            <sz val="8"/>
            <rFont val="Tahoma"/>
            <family val="0"/>
          </rPr>
          <t>15psf</t>
        </r>
      </text>
    </comment>
    <comment ref="Q32" authorId="0">
      <text>
        <r>
          <rPr>
            <b/>
            <sz val="8"/>
            <rFont val="Tahoma"/>
            <family val="0"/>
          </rPr>
          <t>15psf</t>
        </r>
      </text>
    </comment>
    <comment ref="Q33" authorId="0">
      <text>
        <r>
          <rPr>
            <b/>
            <sz val="8"/>
            <rFont val="Tahoma"/>
            <family val="0"/>
          </rPr>
          <t>15psf</t>
        </r>
      </text>
    </comment>
    <comment ref="Q34" authorId="0">
      <text>
        <r>
          <rPr>
            <b/>
            <sz val="8"/>
            <rFont val="Tahoma"/>
            <family val="0"/>
          </rPr>
          <t>15psf</t>
        </r>
      </text>
    </comment>
    <comment ref="Q44" authorId="0">
      <text>
        <r>
          <rPr>
            <b/>
            <sz val="8"/>
            <rFont val="Tahoma"/>
            <family val="0"/>
          </rPr>
          <t>15psf</t>
        </r>
      </text>
    </comment>
    <comment ref="Q45" authorId="0">
      <text>
        <r>
          <rPr>
            <b/>
            <sz val="8"/>
            <rFont val="Tahoma"/>
            <family val="0"/>
          </rPr>
          <t>15psf</t>
        </r>
      </text>
    </comment>
    <comment ref="Q46" authorId="0">
      <text>
        <r>
          <rPr>
            <b/>
            <sz val="8"/>
            <rFont val="Tahoma"/>
            <family val="0"/>
          </rPr>
          <t>15psf</t>
        </r>
      </text>
    </comment>
    <comment ref="Q47" authorId="0">
      <text>
        <r>
          <rPr>
            <b/>
            <sz val="8"/>
            <rFont val="Tahoma"/>
            <family val="0"/>
          </rPr>
          <t>15psf</t>
        </r>
      </text>
    </comment>
    <comment ref="Q48" authorId="0">
      <text>
        <r>
          <rPr>
            <b/>
            <sz val="8"/>
            <rFont val="Tahoma"/>
            <family val="0"/>
          </rPr>
          <t>15psf</t>
        </r>
      </text>
    </comment>
    <comment ref="Q49" authorId="0">
      <text>
        <r>
          <rPr>
            <b/>
            <sz val="8"/>
            <rFont val="Tahoma"/>
            <family val="0"/>
          </rPr>
          <t>15psf</t>
        </r>
      </text>
    </comment>
    <comment ref="Q50" authorId="0">
      <text>
        <r>
          <rPr>
            <b/>
            <sz val="8"/>
            <rFont val="Tahoma"/>
            <family val="0"/>
          </rPr>
          <t>15psf</t>
        </r>
      </text>
    </comment>
    <comment ref="Q52" authorId="0">
      <text>
        <r>
          <rPr>
            <b/>
            <sz val="8"/>
            <rFont val="Tahoma"/>
            <family val="0"/>
          </rPr>
          <t>15psf</t>
        </r>
      </text>
    </comment>
    <comment ref="Q53" authorId="0">
      <text>
        <r>
          <rPr>
            <b/>
            <sz val="8"/>
            <rFont val="Tahoma"/>
            <family val="0"/>
          </rPr>
          <t>15psf</t>
        </r>
      </text>
    </comment>
    <comment ref="Q54" authorId="0">
      <text>
        <r>
          <rPr>
            <b/>
            <sz val="8"/>
            <rFont val="Tahoma"/>
            <family val="0"/>
          </rPr>
          <t>15psf</t>
        </r>
      </text>
    </comment>
    <comment ref="Q55" authorId="0">
      <text>
        <r>
          <rPr>
            <b/>
            <sz val="8"/>
            <rFont val="Tahoma"/>
            <family val="0"/>
          </rPr>
          <t>15psf</t>
        </r>
      </text>
    </comment>
    <comment ref="Q56" authorId="0">
      <text>
        <r>
          <rPr>
            <b/>
            <sz val="8"/>
            <rFont val="Tahoma"/>
            <family val="0"/>
          </rPr>
          <t>15psf</t>
        </r>
      </text>
    </comment>
    <comment ref="Q57" authorId="0">
      <text>
        <r>
          <rPr>
            <b/>
            <sz val="8"/>
            <rFont val="Tahoma"/>
            <family val="0"/>
          </rPr>
          <t>15psf</t>
        </r>
      </text>
    </comment>
    <comment ref="Q58" authorId="0">
      <text>
        <r>
          <rPr>
            <b/>
            <sz val="8"/>
            <rFont val="Tahoma"/>
            <family val="0"/>
          </rPr>
          <t>15psf</t>
        </r>
      </text>
    </comment>
    <comment ref="Q60" authorId="0">
      <text>
        <r>
          <rPr>
            <b/>
            <sz val="8"/>
            <rFont val="Tahoma"/>
            <family val="0"/>
          </rPr>
          <t>15psf</t>
        </r>
      </text>
    </comment>
    <comment ref="Q61" authorId="0">
      <text>
        <r>
          <rPr>
            <b/>
            <sz val="8"/>
            <rFont val="Tahoma"/>
            <family val="0"/>
          </rPr>
          <t>15psf</t>
        </r>
      </text>
    </comment>
    <comment ref="Q62" authorId="0">
      <text>
        <r>
          <rPr>
            <b/>
            <sz val="8"/>
            <rFont val="Tahoma"/>
            <family val="0"/>
          </rPr>
          <t>15psf</t>
        </r>
      </text>
    </comment>
    <comment ref="Q63" authorId="0">
      <text>
        <r>
          <rPr>
            <b/>
            <sz val="8"/>
            <rFont val="Tahoma"/>
            <family val="0"/>
          </rPr>
          <t>15psf</t>
        </r>
      </text>
    </comment>
    <comment ref="Q64" authorId="0">
      <text>
        <r>
          <rPr>
            <b/>
            <sz val="8"/>
            <rFont val="Tahoma"/>
            <family val="0"/>
          </rPr>
          <t>15psf</t>
        </r>
      </text>
    </comment>
    <comment ref="Q65" authorId="0">
      <text>
        <r>
          <rPr>
            <b/>
            <sz val="8"/>
            <rFont val="Tahoma"/>
            <family val="0"/>
          </rPr>
          <t>15psf</t>
        </r>
      </text>
    </comment>
    <comment ref="Q66" authorId="0">
      <text>
        <r>
          <rPr>
            <b/>
            <sz val="8"/>
            <rFont val="Tahoma"/>
            <family val="0"/>
          </rPr>
          <t>15psf</t>
        </r>
      </text>
    </comment>
    <comment ref="Q67" authorId="0">
      <text>
        <r>
          <rPr>
            <b/>
            <sz val="8"/>
            <rFont val="Tahoma"/>
            <family val="0"/>
          </rPr>
          <t>15psf</t>
        </r>
      </text>
    </comment>
    <comment ref="Q68" authorId="0">
      <text>
        <r>
          <rPr>
            <b/>
            <sz val="8"/>
            <rFont val="Tahoma"/>
            <family val="0"/>
          </rPr>
          <t>15psf</t>
        </r>
      </text>
    </comment>
    <comment ref="Q78" authorId="0">
      <text>
        <r>
          <rPr>
            <b/>
            <sz val="8"/>
            <rFont val="Tahoma"/>
            <family val="0"/>
          </rPr>
          <t>15psf</t>
        </r>
      </text>
    </comment>
    <comment ref="Q79" authorId="0">
      <text>
        <r>
          <rPr>
            <b/>
            <sz val="8"/>
            <rFont val="Tahoma"/>
            <family val="0"/>
          </rPr>
          <t>15psf</t>
        </r>
      </text>
    </comment>
    <comment ref="Q80" authorId="0">
      <text>
        <r>
          <rPr>
            <b/>
            <sz val="8"/>
            <rFont val="Tahoma"/>
            <family val="0"/>
          </rPr>
          <t>15psf</t>
        </r>
      </text>
    </comment>
    <comment ref="Q81" authorId="0">
      <text>
        <r>
          <rPr>
            <b/>
            <sz val="8"/>
            <rFont val="Tahoma"/>
            <family val="0"/>
          </rPr>
          <t>15psf</t>
        </r>
      </text>
    </comment>
    <comment ref="Q82" authorId="0">
      <text>
        <r>
          <rPr>
            <b/>
            <sz val="8"/>
            <rFont val="Tahoma"/>
            <family val="0"/>
          </rPr>
          <t>15psf</t>
        </r>
      </text>
    </comment>
    <comment ref="Q83" authorId="0">
      <text>
        <r>
          <rPr>
            <b/>
            <sz val="8"/>
            <rFont val="Tahoma"/>
            <family val="0"/>
          </rPr>
          <t>15psf</t>
        </r>
      </text>
    </comment>
    <comment ref="Q84" authorId="0">
      <text>
        <r>
          <rPr>
            <b/>
            <sz val="8"/>
            <rFont val="Tahoma"/>
            <family val="0"/>
          </rPr>
          <t>15psf</t>
        </r>
      </text>
    </comment>
    <comment ref="Q85" authorId="0">
      <text>
        <r>
          <rPr>
            <b/>
            <sz val="8"/>
            <rFont val="Tahoma"/>
            <family val="0"/>
          </rPr>
          <t>15psf</t>
        </r>
      </text>
    </comment>
    <comment ref="Q86" authorId="0">
      <text>
        <r>
          <rPr>
            <b/>
            <sz val="8"/>
            <rFont val="Tahoma"/>
            <family val="0"/>
          </rPr>
          <t>15psf</t>
        </r>
      </text>
    </comment>
    <comment ref="Q87" authorId="0">
      <text>
        <r>
          <rPr>
            <b/>
            <sz val="8"/>
            <rFont val="Tahoma"/>
            <family val="0"/>
          </rPr>
          <t>15psf</t>
        </r>
      </text>
    </comment>
    <comment ref="Q88" authorId="0">
      <text>
        <r>
          <rPr>
            <b/>
            <sz val="8"/>
            <rFont val="Tahoma"/>
            <family val="0"/>
          </rPr>
          <t>15psf</t>
        </r>
      </text>
    </comment>
    <comment ref="Q89" authorId="0">
      <text>
        <r>
          <rPr>
            <b/>
            <sz val="8"/>
            <rFont val="Tahoma"/>
            <family val="0"/>
          </rPr>
          <t>15psf</t>
        </r>
      </text>
    </comment>
    <comment ref="Q90" authorId="0">
      <text>
        <r>
          <rPr>
            <b/>
            <sz val="8"/>
            <rFont val="Tahoma"/>
            <family val="0"/>
          </rPr>
          <t>15psf</t>
        </r>
      </text>
    </comment>
    <comment ref="Q91" authorId="0">
      <text>
        <r>
          <rPr>
            <b/>
            <sz val="8"/>
            <rFont val="Tahoma"/>
            <family val="0"/>
          </rPr>
          <t>15psf</t>
        </r>
      </text>
    </comment>
    <comment ref="Q92" authorId="0">
      <text>
        <r>
          <rPr>
            <b/>
            <sz val="8"/>
            <rFont val="Tahoma"/>
            <family val="0"/>
          </rPr>
          <t>15psf</t>
        </r>
      </text>
    </comment>
    <comment ref="Q94" authorId="0">
      <text>
        <r>
          <rPr>
            <b/>
            <sz val="8"/>
            <rFont val="Tahoma"/>
            <family val="0"/>
          </rPr>
          <t>15psf</t>
        </r>
      </text>
    </comment>
    <comment ref="Q95" authorId="0">
      <text>
        <r>
          <rPr>
            <b/>
            <sz val="8"/>
            <rFont val="Tahoma"/>
            <family val="0"/>
          </rPr>
          <t>15psf</t>
        </r>
      </text>
    </comment>
    <comment ref="Q96" authorId="0">
      <text>
        <r>
          <rPr>
            <b/>
            <sz val="8"/>
            <rFont val="Tahoma"/>
            <family val="0"/>
          </rPr>
          <t>15psf</t>
        </r>
      </text>
    </comment>
    <comment ref="Q97" authorId="0">
      <text>
        <r>
          <rPr>
            <b/>
            <sz val="8"/>
            <rFont val="Tahoma"/>
            <family val="0"/>
          </rPr>
          <t>15psf</t>
        </r>
      </text>
    </comment>
    <comment ref="Q98" authorId="0">
      <text>
        <r>
          <rPr>
            <b/>
            <sz val="8"/>
            <rFont val="Tahoma"/>
            <family val="0"/>
          </rPr>
          <t>15psf</t>
        </r>
      </text>
    </comment>
    <comment ref="Q99" authorId="0">
      <text>
        <r>
          <rPr>
            <b/>
            <sz val="8"/>
            <rFont val="Tahoma"/>
            <family val="0"/>
          </rPr>
          <t>15psf</t>
        </r>
      </text>
    </comment>
    <comment ref="Q100" authorId="0">
      <text>
        <r>
          <rPr>
            <b/>
            <sz val="8"/>
            <rFont val="Tahoma"/>
            <family val="0"/>
          </rPr>
          <t>15psf</t>
        </r>
      </text>
    </comment>
    <comment ref="Q101" authorId="0">
      <text>
        <r>
          <rPr>
            <b/>
            <sz val="8"/>
            <rFont val="Tahoma"/>
            <family val="0"/>
          </rPr>
          <t>15psf</t>
        </r>
      </text>
    </comment>
    <comment ref="Q102" authorId="0">
      <text>
        <r>
          <rPr>
            <b/>
            <sz val="8"/>
            <rFont val="Tahoma"/>
            <family val="0"/>
          </rPr>
          <t>15psf</t>
        </r>
      </text>
    </comment>
    <comment ref="Q103" authorId="0">
      <text>
        <r>
          <rPr>
            <b/>
            <sz val="8"/>
            <rFont val="Tahoma"/>
            <family val="0"/>
          </rPr>
          <t>15psf</t>
        </r>
      </text>
    </comment>
    <comment ref="Q104" authorId="0">
      <text>
        <r>
          <rPr>
            <b/>
            <sz val="8"/>
            <rFont val="Tahoma"/>
            <family val="0"/>
          </rPr>
          <t>15psf</t>
        </r>
      </text>
    </comment>
    <comment ref="R13" authorId="0">
      <text>
        <r>
          <rPr>
            <b/>
            <sz val="8"/>
            <rFont val="Tahoma"/>
            <family val="0"/>
          </rPr>
          <t>50psf</t>
        </r>
      </text>
    </comment>
    <comment ref="R14" authorId="0">
      <text>
        <r>
          <rPr>
            <b/>
            <sz val="8"/>
            <rFont val="Tahoma"/>
            <family val="0"/>
          </rPr>
          <t>50psf</t>
        </r>
      </text>
    </comment>
    <comment ref="R15" authorId="0">
      <text>
        <r>
          <rPr>
            <b/>
            <sz val="8"/>
            <rFont val="Tahoma"/>
            <family val="0"/>
          </rPr>
          <t>50psf</t>
        </r>
      </text>
    </comment>
    <comment ref="R16" authorId="0">
      <text>
        <r>
          <rPr>
            <b/>
            <sz val="8"/>
            <rFont val="Tahoma"/>
            <family val="0"/>
          </rPr>
          <t>50psf</t>
        </r>
      </text>
    </comment>
    <comment ref="R17" authorId="0">
      <text>
        <r>
          <rPr>
            <b/>
            <sz val="8"/>
            <rFont val="Tahoma"/>
            <family val="0"/>
          </rPr>
          <t>50psf</t>
        </r>
      </text>
    </comment>
    <comment ref="R18" authorId="0">
      <text>
        <r>
          <rPr>
            <b/>
            <sz val="8"/>
            <rFont val="Tahoma"/>
            <family val="0"/>
          </rPr>
          <t>50psf</t>
        </r>
      </text>
    </comment>
    <comment ref="R19" authorId="0">
      <text>
        <r>
          <rPr>
            <b/>
            <sz val="8"/>
            <rFont val="Tahoma"/>
            <family val="0"/>
          </rPr>
          <t>50psf</t>
        </r>
      </text>
    </comment>
    <comment ref="R20" authorId="0">
      <text>
        <r>
          <rPr>
            <b/>
            <sz val="8"/>
            <rFont val="Tahoma"/>
            <family val="0"/>
          </rPr>
          <t>50psf</t>
        </r>
      </text>
    </comment>
    <comment ref="R21" authorId="0">
      <text>
        <r>
          <rPr>
            <b/>
            <sz val="8"/>
            <rFont val="Tahoma"/>
            <family val="0"/>
          </rPr>
          <t>50psf</t>
        </r>
      </text>
    </comment>
    <comment ref="R22" authorId="0">
      <text>
        <r>
          <rPr>
            <b/>
            <sz val="8"/>
            <rFont val="Tahoma"/>
            <family val="0"/>
          </rPr>
          <t>50psf</t>
        </r>
      </text>
    </comment>
    <comment ref="R23" authorId="0">
      <text>
        <r>
          <rPr>
            <b/>
            <sz val="8"/>
            <rFont val="Tahoma"/>
            <family val="0"/>
          </rPr>
          <t>50psf</t>
        </r>
      </text>
    </comment>
    <comment ref="R24" authorId="0">
      <text>
        <r>
          <rPr>
            <b/>
            <sz val="8"/>
            <rFont val="Tahoma"/>
            <family val="0"/>
          </rPr>
          <t>50psf</t>
        </r>
      </text>
    </comment>
    <comment ref="R25" authorId="0">
      <text>
        <r>
          <rPr>
            <b/>
            <sz val="8"/>
            <rFont val="Tahoma"/>
            <family val="0"/>
          </rPr>
          <t>50psf</t>
        </r>
      </text>
    </comment>
    <comment ref="R27" authorId="0">
      <text>
        <r>
          <rPr>
            <b/>
            <sz val="8"/>
            <rFont val="Tahoma"/>
            <family val="0"/>
          </rPr>
          <t>50psf</t>
        </r>
      </text>
    </comment>
    <comment ref="R28" authorId="0">
      <text>
        <r>
          <rPr>
            <b/>
            <sz val="8"/>
            <rFont val="Tahoma"/>
            <family val="0"/>
          </rPr>
          <t>50psf</t>
        </r>
      </text>
    </comment>
    <comment ref="R29" authorId="0">
      <text>
        <r>
          <rPr>
            <b/>
            <sz val="8"/>
            <rFont val="Tahoma"/>
            <family val="0"/>
          </rPr>
          <t>50psf</t>
        </r>
      </text>
    </comment>
    <comment ref="R30" authorId="0">
      <text>
        <r>
          <rPr>
            <b/>
            <sz val="8"/>
            <rFont val="Tahoma"/>
            <family val="0"/>
          </rPr>
          <t>50psf</t>
        </r>
      </text>
    </comment>
    <comment ref="R31" authorId="0">
      <text>
        <r>
          <rPr>
            <b/>
            <sz val="8"/>
            <rFont val="Tahoma"/>
            <family val="0"/>
          </rPr>
          <t>50psf</t>
        </r>
      </text>
    </comment>
    <comment ref="R32" authorId="0">
      <text>
        <r>
          <rPr>
            <b/>
            <sz val="8"/>
            <rFont val="Tahoma"/>
            <family val="0"/>
          </rPr>
          <t>50psf</t>
        </r>
      </text>
    </comment>
    <comment ref="R33" authorId="0">
      <text>
        <r>
          <rPr>
            <b/>
            <sz val="8"/>
            <rFont val="Tahoma"/>
            <family val="0"/>
          </rPr>
          <t>50psf</t>
        </r>
      </text>
    </comment>
    <comment ref="R34" authorId="0">
      <text>
        <r>
          <rPr>
            <b/>
            <sz val="8"/>
            <rFont val="Tahoma"/>
            <family val="0"/>
          </rPr>
          <t>50psf</t>
        </r>
      </text>
    </comment>
    <comment ref="R44" authorId="0">
      <text>
        <r>
          <rPr>
            <b/>
            <sz val="8"/>
            <rFont val="Tahoma"/>
            <family val="0"/>
          </rPr>
          <t>50psf</t>
        </r>
      </text>
    </comment>
    <comment ref="R45" authorId="0">
      <text>
        <r>
          <rPr>
            <b/>
            <sz val="8"/>
            <rFont val="Tahoma"/>
            <family val="0"/>
          </rPr>
          <t>50psf</t>
        </r>
      </text>
    </comment>
    <comment ref="R46" authorId="0">
      <text>
        <r>
          <rPr>
            <b/>
            <sz val="8"/>
            <rFont val="Tahoma"/>
            <family val="0"/>
          </rPr>
          <t>50psf</t>
        </r>
      </text>
    </comment>
    <comment ref="R47" authorId="0">
      <text>
        <r>
          <rPr>
            <b/>
            <sz val="8"/>
            <rFont val="Tahoma"/>
            <family val="0"/>
          </rPr>
          <t>50psf</t>
        </r>
      </text>
    </comment>
    <comment ref="R48" authorId="0">
      <text>
        <r>
          <rPr>
            <b/>
            <sz val="8"/>
            <rFont val="Tahoma"/>
            <family val="0"/>
          </rPr>
          <t>50psf</t>
        </r>
      </text>
    </comment>
    <comment ref="R49" authorId="0">
      <text>
        <r>
          <rPr>
            <b/>
            <sz val="8"/>
            <rFont val="Tahoma"/>
            <family val="0"/>
          </rPr>
          <t>50psf</t>
        </r>
      </text>
    </comment>
    <comment ref="R50" authorId="0">
      <text>
        <r>
          <rPr>
            <b/>
            <sz val="8"/>
            <rFont val="Tahoma"/>
            <family val="0"/>
          </rPr>
          <t>50psf</t>
        </r>
      </text>
    </comment>
    <comment ref="R52" authorId="0">
      <text>
        <r>
          <rPr>
            <b/>
            <sz val="8"/>
            <rFont val="Tahoma"/>
            <family val="0"/>
          </rPr>
          <t>50psf</t>
        </r>
      </text>
    </comment>
    <comment ref="R53" authorId="0">
      <text>
        <r>
          <rPr>
            <b/>
            <sz val="8"/>
            <rFont val="Tahoma"/>
            <family val="0"/>
          </rPr>
          <t>50psf</t>
        </r>
      </text>
    </comment>
    <comment ref="R54" authorId="0">
      <text>
        <r>
          <rPr>
            <b/>
            <sz val="8"/>
            <rFont val="Tahoma"/>
            <family val="0"/>
          </rPr>
          <t>50psf</t>
        </r>
      </text>
    </comment>
    <comment ref="R55" authorId="0">
      <text>
        <r>
          <rPr>
            <b/>
            <sz val="8"/>
            <rFont val="Tahoma"/>
            <family val="0"/>
          </rPr>
          <t>50psf</t>
        </r>
      </text>
    </comment>
    <comment ref="R56" authorId="0">
      <text>
        <r>
          <rPr>
            <b/>
            <sz val="8"/>
            <rFont val="Tahoma"/>
            <family val="0"/>
          </rPr>
          <t>50psf</t>
        </r>
      </text>
    </comment>
    <comment ref="R57" authorId="0">
      <text>
        <r>
          <rPr>
            <b/>
            <sz val="8"/>
            <rFont val="Tahoma"/>
            <family val="0"/>
          </rPr>
          <t>50psf</t>
        </r>
      </text>
    </comment>
    <comment ref="R58" authorId="0">
      <text>
        <r>
          <rPr>
            <b/>
            <sz val="8"/>
            <rFont val="Tahoma"/>
            <family val="0"/>
          </rPr>
          <t>50psf</t>
        </r>
      </text>
    </comment>
    <comment ref="R60" authorId="0">
      <text>
        <r>
          <rPr>
            <b/>
            <sz val="8"/>
            <rFont val="Tahoma"/>
            <family val="0"/>
          </rPr>
          <t>50psf</t>
        </r>
      </text>
    </comment>
    <comment ref="R61" authorId="0">
      <text>
        <r>
          <rPr>
            <b/>
            <sz val="8"/>
            <rFont val="Tahoma"/>
            <family val="0"/>
          </rPr>
          <t>50psf</t>
        </r>
      </text>
    </comment>
    <comment ref="R62" authorId="0">
      <text>
        <r>
          <rPr>
            <b/>
            <sz val="8"/>
            <rFont val="Tahoma"/>
            <family val="0"/>
          </rPr>
          <t>50psf</t>
        </r>
      </text>
    </comment>
    <comment ref="R63" authorId="0">
      <text>
        <r>
          <rPr>
            <b/>
            <sz val="8"/>
            <rFont val="Tahoma"/>
            <family val="0"/>
          </rPr>
          <t>50psf</t>
        </r>
      </text>
    </comment>
    <comment ref="R64" authorId="0">
      <text>
        <r>
          <rPr>
            <b/>
            <sz val="8"/>
            <rFont val="Tahoma"/>
            <family val="0"/>
          </rPr>
          <t>50psf</t>
        </r>
      </text>
    </comment>
    <comment ref="R65" authorId="0">
      <text>
        <r>
          <rPr>
            <b/>
            <sz val="8"/>
            <rFont val="Tahoma"/>
            <family val="0"/>
          </rPr>
          <t>50psf</t>
        </r>
      </text>
    </comment>
    <comment ref="R66" authorId="0">
      <text>
        <r>
          <rPr>
            <b/>
            <sz val="8"/>
            <rFont val="Tahoma"/>
            <family val="0"/>
          </rPr>
          <t>50psf</t>
        </r>
      </text>
    </comment>
    <comment ref="R67" authorId="0">
      <text>
        <r>
          <rPr>
            <b/>
            <sz val="8"/>
            <rFont val="Tahoma"/>
            <family val="0"/>
          </rPr>
          <t>50psf</t>
        </r>
      </text>
    </comment>
    <comment ref="R68" authorId="0">
      <text>
        <r>
          <rPr>
            <b/>
            <sz val="8"/>
            <rFont val="Tahoma"/>
            <family val="0"/>
          </rPr>
          <t>50psf</t>
        </r>
      </text>
    </comment>
    <comment ref="R78" authorId="0">
      <text>
        <r>
          <rPr>
            <b/>
            <sz val="8"/>
            <rFont val="Tahoma"/>
            <family val="0"/>
          </rPr>
          <t>50psf</t>
        </r>
      </text>
    </comment>
    <comment ref="R79" authorId="0">
      <text>
        <r>
          <rPr>
            <b/>
            <sz val="8"/>
            <rFont val="Tahoma"/>
            <family val="0"/>
          </rPr>
          <t>50psf</t>
        </r>
      </text>
    </comment>
    <comment ref="R80" authorId="0">
      <text>
        <r>
          <rPr>
            <b/>
            <sz val="8"/>
            <rFont val="Tahoma"/>
            <family val="0"/>
          </rPr>
          <t>50psf</t>
        </r>
      </text>
    </comment>
    <comment ref="R81" authorId="0">
      <text>
        <r>
          <rPr>
            <b/>
            <sz val="8"/>
            <rFont val="Tahoma"/>
            <family val="0"/>
          </rPr>
          <t>50psf</t>
        </r>
      </text>
    </comment>
    <comment ref="R82" authorId="0">
      <text>
        <r>
          <rPr>
            <b/>
            <sz val="8"/>
            <rFont val="Tahoma"/>
            <family val="0"/>
          </rPr>
          <t>50psf</t>
        </r>
      </text>
    </comment>
    <comment ref="R83" authorId="0">
      <text>
        <r>
          <rPr>
            <b/>
            <sz val="8"/>
            <rFont val="Tahoma"/>
            <family val="0"/>
          </rPr>
          <t>50psf</t>
        </r>
      </text>
    </comment>
    <comment ref="R84" authorId="0">
      <text>
        <r>
          <rPr>
            <b/>
            <sz val="8"/>
            <rFont val="Tahoma"/>
            <family val="0"/>
          </rPr>
          <t>50psf</t>
        </r>
      </text>
    </comment>
    <comment ref="R85" authorId="0">
      <text>
        <r>
          <rPr>
            <b/>
            <sz val="8"/>
            <rFont val="Tahoma"/>
            <family val="0"/>
          </rPr>
          <t>50psf</t>
        </r>
      </text>
    </comment>
    <comment ref="R86" authorId="0">
      <text>
        <r>
          <rPr>
            <b/>
            <sz val="8"/>
            <rFont val="Tahoma"/>
            <family val="0"/>
          </rPr>
          <t>50psf</t>
        </r>
      </text>
    </comment>
    <comment ref="R87" authorId="0">
      <text>
        <r>
          <rPr>
            <b/>
            <sz val="8"/>
            <rFont val="Tahoma"/>
            <family val="0"/>
          </rPr>
          <t>50psf</t>
        </r>
      </text>
    </comment>
    <comment ref="R88" authorId="0">
      <text>
        <r>
          <rPr>
            <b/>
            <sz val="8"/>
            <rFont val="Tahoma"/>
            <family val="0"/>
          </rPr>
          <t>50psf</t>
        </r>
      </text>
    </comment>
    <comment ref="R89" authorId="0">
      <text>
        <r>
          <rPr>
            <b/>
            <sz val="8"/>
            <rFont val="Tahoma"/>
            <family val="0"/>
          </rPr>
          <t>50psf</t>
        </r>
      </text>
    </comment>
    <comment ref="R90" authorId="0">
      <text>
        <r>
          <rPr>
            <b/>
            <sz val="8"/>
            <rFont val="Tahoma"/>
            <family val="0"/>
          </rPr>
          <t>50psf</t>
        </r>
      </text>
    </comment>
    <comment ref="R91" authorId="0">
      <text>
        <r>
          <rPr>
            <b/>
            <sz val="8"/>
            <rFont val="Tahoma"/>
            <family val="0"/>
          </rPr>
          <t>50psf</t>
        </r>
      </text>
    </comment>
    <comment ref="R92" authorId="0">
      <text>
        <r>
          <rPr>
            <b/>
            <sz val="8"/>
            <rFont val="Tahoma"/>
            <family val="0"/>
          </rPr>
          <t>50psf</t>
        </r>
      </text>
    </comment>
    <comment ref="R94" authorId="0">
      <text>
        <r>
          <rPr>
            <b/>
            <sz val="8"/>
            <rFont val="Tahoma"/>
            <family val="0"/>
          </rPr>
          <t>50psf</t>
        </r>
      </text>
    </comment>
    <comment ref="R95" authorId="0">
      <text>
        <r>
          <rPr>
            <b/>
            <sz val="8"/>
            <rFont val="Tahoma"/>
            <family val="0"/>
          </rPr>
          <t>50psf</t>
        </r>
      </text>
    </comment>
    <comment ref="R96" authorId="0">
      <text>
        <r>
          <rPr>
            <b/>
            <sz val="8"/>
            <rFont val="Tahoma"/>
            <family val="0"/>
          </rPr>
          <t>50psf</t>
        </r>
      </text>
    </comment>
    <comment ref="R97" authorId="0">
      <text>
        <r>
          <rPr>
            <b/>
            <sz val="8"/>
            <rFont val="Tahoma"/>
            <family val="0"/>
          </rPr>
          <t>50psf</t>
        </r>
      </text>
    </comment>
    <comment ref="R98" authorId="0">
      <text>
        <r>
          <rPr>
            <b/>
            <sz val="8"/>
            <rFont val="Tahoma"/>
            <family val="0"/>
          </rPr>
          <t>50psf</t>
        </r>
      </text>
    </comment>
    <comment ref="R99" authorId="0">
      <text>
        <r>
          <rPr>
            <b/>
            <sz val="8"/>
            <rFont val="Tahoma"/>
            <family val="0"/>
          </rPr>
          <t>50psf</t>
        </r>
      </text>
    </comment>
    <comment ref="R100" authorId="0">
      <text>
        <r>
          <rPr>
            <b/>
            <sz val="8"/>
            <rFont val="Tahoma"/>
            <family val="0"/>
          </rPr>
          <t>50psf</t>
        </r>
      </text>
    </comment>
    <comment ref="R101" authorId="0">
      <text>
        <r>
          <rPr>
            <b/>
            <sz val="8"/>
            <rFont val="Tahoma"/>
            <family val="0"/>
          </rPr>
          <t>50psf</t>
        </r>
      </text>
    </comment>
    <comment ref="R102" authorId="0">
      <text>
        <r>
          <rPr>
            <b/>
            <sz val="8"/>
            <rFont val="Tahoma"/>
            <family val="0"/>
          </rPr>
          <t>50psf</t>
        </r>
      </text>
    </comment>
    <comment ref="R103" authorId="0">
      <text>
        <r>
          <rPr>
            <b/>
            <sz val="8"/>
            <rFont val="Tahoma"/>
            <family val="0"/>
          </rPr>
          <t>50psf</t>
        </r>
      </text>
    </comment>
    <comment ref="R104" authorId="0">
      <text>
        <r>
          <rPr>
            <b/>
            <sz val="8"/>
            <rFont val="Tahoma"/>
            <family val="0"/>
          </rPr>
          <t>50psf</t>
        </r>
      </text>
    </comment>
    <comment ref="P13" authorId="0">
      <text>
        <r>
          <rPr>
            <b/>
            <sz val="8"/>
            <rFont val="Tahoma"/>
            <family val="0"/>
          </rPr>
          <t>3.5psf</t>
        </r>
      </text>
    </comment>
    <comment ref="P14" authorId="0">
      <text>
        <r>
          <rPr>
            <b/>
            <sz val="8"/>
            <rFont val="Tahoma"/>
            <family val="0"/>
          </rPr>
          <t>3.5psf</t>
        </r>
      </text>
    </comment>
    <comment ref="P15" authorId="0">
      <text>
        <r>
          <rPr>
            <b/>
            <sz val="8"/>
            <rFont val="Tahoma"/>
            <family val="0"/>
          </rPr>
          <t>3.5psf</t>
        </r>
      </text>
    </comment>
    <comment ref="P16" authorId="0">
      <text>
        <r>
          <rPr>
            <b/>
            <sz val="8"/>
            <rFont val="Tahoma"/>
            <family val="0"/>
          </rPr>
          <t>3.5psf</t>
        </r>
      </text>
    </comment>
    <comment ref="P17" authorId="0">
      <text>
        <r>
          <rPr>
            <b/>
            <sz val="8"/>
            <rFont val="Tahoma"/>
            <family val="0"/>
          </rPr>
          <t>3.5psf</t>
        </r>
      </text>
    </comment>
    <comment ref="P18" authorId="0">
      <text>
        <r>
          <rPr>
            <b/>
            <sz val="8"/>
            <rFont val="Tahoma"/>
            <family val="0"/>
          </rPr>
          <t>3.5psf</t>
        </r>
      </text>
    </comment>
    <comment ref="P19" authorId="0">
      <text>
        <r>
          <rPr>
            <b/>
            <sz val="8"/>
            <rFont val="Tahoma"/>
            <family val="0"/>
          </rPr>
          <t>3.5psf</t>
        </r>
      </text>
    </comment>
    <comment ref="P20" authorId="0">
      <text>
        <r>
          <rPr>
            <b/>
            <sz val="8"/>
            <rFont val="Tahoma"/>
            <family val="0"/>
          </rPr>
          <t>3.5psf</t>
        </r>
      </text>
    </comment>
    <comment ref="P21" authorId="0">
      <text>
        <r>
          <rPr>
            <b/>
            <sz val="8"/>
            <rFont val="Tahoma"/>
            <family val="0"/>
          </rPr>
          <t>3.5psf</t>
        </r>
      </text>
    </comment>
    <comment ref="P22" authorId="0">
      <text>
        <r>
          <rPr>
            <b/>
            <sz val="8"/>
            <rFont val="Tahoma"/>
            <family val="0"/>
          </rPr>
          <t>3.5psf</t>
        </r>
      </text>
    </comment>
    <comment ref="P23" authorId="0">
      <text>
        <r>
          <rPr>
            <b/>
            <sz val="8"/>
            <rFont val="Tahoma"/>
            <family val="0"/>
          </rPr>
          <t>3.5psf</t>
        </r>
      </text>
    </comment>
    <comment ref="P24" authorId="0">
      <text>
        <r>
          <rPr>
            <b/>
            <sz val="8"/>
            <rFont val="Tahoma"/>
            <family val="0"/>
          </rPr>
          <t>3.5psf</t>
        </r>
      </text>
    </comment>
    <comment ref="P25" authorId="0">
      <text>
        <r>
          <rPr>
            <b/>
            <sz val="8"/>
            <rFont val="Tahoma"/>
            <family val="0"/>
          </rPr>
          <t>3.5psf</t>
        </r>
      </text>
    </comment>
    <comment ref="P27" authorId="0">
      <text>
        <r>
          <rPr>
            <b/>
            <sz val="8"/>
            <rFont val="Tahoma"/>
            <family val="0"/>
          </rPr>
          <t>3.5psf</t>
        </r>
      </text>
    </comment>
    <comment ref="P28" authorId="0">
      <text>
        <r>
          <rPr>
            <b/>
            <sz val="8"/>
            <rFont val="Tahoma"/>
            <family val="0"/>
          </rPr>
          <t>3.5psf</t>
        </r>
      </text>
    </comment>
    <comment ref="P29" authorId="0">
      <text>
        <r>
          <rPr>
            <b/>
            <sz val="8"/>
            <rFont val="Tahoma"/>
            <family val="0"/>
          </rPr>
          <t>3.5psf</t>
        </r>
      </text>
    </comment>
    <comment ref="P30" authorId="0">
      <text>
        <r>
          <rPr>
            <b/>
            <sz val="8"/>
            <rFont val="Tahoma"/>
            <family val="0"/>
          </rPr>
          <t>3.5psf</t>
        </r>
      </text>
    </comment>
    <comment ref="P31" authorId="0">
      <text>
        <r>
          <rPr>
            <b/>
            <sz val="8"/>
            <rFont val="Tahoma"/>
            <family val="0"/>
          </rPr>
          <t>3.5psf</t>
        </r>
      </text>
    </comment>
    <comment ref="P32" authorId="0">
      <text>
        <r>
          <rPr>
            <b/>
            <sz val="8"/>
            <rFont val="Tahoma"/>
            <family val="0"/>
          </rPr>
          <t>3.5psf</t>
        </r>
      </text>
    </comment>
    <comment ref="P33" authorId="0">
      <text>
        <r>
          <rPr>
            <b/>
            <sz val="8"/>
            <rFont val="Tahoma"/>
            <family val="0"/>
          </rPr>
          <t>3.5psf</t>
        </r>
      </text>
    </comment>
    <comment ref="P34" authorId="0">
      <text>
        <r>
          <rPr>
            <b/>
            <sz val="8"/>
            <rFont val="Tahoma"/>
            <family val="0"/>
          </rPr>
          <t>3.5psf</t>
        </r>
      </text>
    </comment>
    <comment ref="P44" authorId="0">
      <text>
        <r>
          <rPr>
            <b/>
            <sz val="8"/>
            <rFont val="Tahoma"/>
            <family val="0"/>
          </rPr>
          <t>3.5psf</t>
        </r>
      </text>
    </comment>
    <comment ref="P45" authorId="0">
      <text>
        <r>
          <rPr>
            <b/>
            <sz val="8"/>
            <rFont val="Tahoma"/>
            <family val="0"/>
          </rPr>
          <t>3.5psf</t>
        </r>
      </text>
    </comment>
    <comment ref="P46" authorId="0">
      <text>
        <r>
          <rPr>
            <b/>
            <sz val="8"/>
            <rFont val="Tahoma"/>
            <family val="0"/>
          </rPr>
          <t>3.5psf</t>
        </r>
      </text>
    </comment>
    <comment ref="P47" authorId="0">
      <text>
        <r>
          <rPr>
            <b/>
            <sz val="8"/>
            <rFont val="Tahoma"/>
            <family val="0"/>
          </rPr>
          <t>3.5psf</t>
        </r>
      </text>
    </comment>
    <comment ref="P48" authorId="0">
      <text>
        <r>
          <rPr>
            <b/>
            <sz val="8"/>
            <rFont val="Tahoma"/>
            <family val="0"/>
          </rPr>
          <t>3.5psf</t>
        </r>
      </text>
    </comment>
    <comment ref="P49" authorId="0">
      <text>
        <r>
          <rPr>
            <b/>
            <sz val="8"/>
            <rFont val="Tahoma"/>
            <family val="0"/>
          </rPr>
          <t>3.5psf</t>
        </r>
      </text>
    </comment>
    <comment ref="P50" authorId="0">
      <text>
        <r>
          <rPr>
            <b/>
            <sz val="8"/>
            <rFont val="Tahoma"/>
            <family val="0"/>
          </rPr>
          <t>3.5psf</t>
        </r>
      </text>
    </comment>
    <comment ref="P52" authorId="0">
      <text>
        <r>
          <rPr>
            <b/>
            <sz val="8"/>
            <rFont val="Tahoma"/>
            <family val="0"/>
          </rPr>
          <t>3.5psf</t>
        </r>
      </text>
    </comment>
    <comment ref="P53" authorId="0">
      <text>
        <r>
          <rPr>
            <b/>
            <sz val="8"/>
            <rFont val="Tahoma"/>
            <family val="0"/>
          </rPr>
          <t>3.5psf</t>
        </r>
      </text>
    </comment>
    <comment ref="P54" authorId="0">
      <text>
        <r>
          <rPr>
            <b/>
            <sz val="8"/>
            <rFont val="Tahoma"/>
            <family val="0"/>
          </rPr>
          <t>3.5psf</t>
        </r>
      </text>
    </comment>
    <comment ref="P55" authorId="0">
      <text>
        <r>
          <rPr>
            <b/>
            <sz val="8"/>
            <rFont val="Tahoma"/>
            <family val="0"/>
          </rPr>
          <t>3.5psf</t>
        </r>
      </text>
    </comment>
    <comment ref="P56" authorId="0">
      <text>
        <r>
          <rPr>
            <b/>
            <sz val="8"/>
            <rFont val="Tahoma"/>
            <family val="0"/>
          </rPr>
          <t>3.5psf</t>
        </r>
      </text>
    </comment>
    <comment ref="P57" authorId="0">
      <text>
        <r>
          <rPr>
            <b/>
            <sz val="8"/>
            <rFont val="Tahoma"/>
            <family val="0"/>
          </rPr>
          <t>3.5psf</t>
        </r>
      </text>
    </comment>
    <comment ref="P58" authorId="0">
      <text>
        <r>
          <rPr>
            <b/>
            <sz val="8"/>
            <rFont val="Tahoma"/>
            <family val="0"/>
          </rPr>
          <t>3.5psf</t>
        </r>
      </text>
    </comment>
    <comment ref="P60" authorId="0">
      <text>
        <r>
          <rPr>
            <b/>
            <sz val="8"/>
            <rFont val="Tahoma"/>
            <family val="0"/>
          </rPr>
          <t>3.5psf</t>
        </r>
      </text>
    </comment>
    <comment ref="P61" authorId="0">
      <text>
        <r>
          <rPr>
            <b/>
            <sz val="8"/>
            <rFont val="Tahoma"/>
            <family val="0"/>
          </rPr>
          <t>3.5psf</t>
        </r>
      </text>
    </comment>
    <comment ref="P62" authorId="0">
      <text>
        <r>
          <rPr>
            <b/>
            <sz val="8"/>
            <rFont val="Tahoma"/>
            <family val="0"/>
          </rPr>
          <t>3.5psf</t>
        </r>
      </text>
    </comment>
    <comment ref="P63" authorId="0">
      <text>
        <r>
          <rPr>
            <b/>
            <sz val="8"/>
            <rFont val="Tahoma"/>
            <family val="0"/>
          </rPr>
          <t>3.5psf</t>
        </r>
      </text>
    </comment>
    <comment ref="P64" authorId="0">
      <text>
        <r>
          <rPr>
            <b/>
            <sz val="8"/>
            <rFont val="Tahoma"/>
            <family val="0"/>
          </rPr>
          <t>3.5psf</t>
        </r>
      </text>
    </comment>
    <comment ref="P65" authorId="0">
      <text>
        <r>
          <rPr>
            <b/>
            <sz val="8"/>
            <rFont val="Tahoma"/>
            <family val="0"/>
          </rPr>
          <t>3.5psf</t>
        </r>
      </text>
    </comment>
    <comment ref="P66" authorId="0">
      <text>
        <r>
          <rPr>
            <b/>
            <sz val="8"/>
            <rFont val="Tahoma"/>
            <family val="0"/>
          </rPr>
          <t>3.5psf</t>
        </r>
      </text>
    </comment>
    <comment ref="P67" authorId="0">
      <text>
        <r>
          <rPr>
            <b/>
            <sz val="8"/>
            <rFont val="Tahoma"/>
            <family val="0"/>
          </rPr>
          <t>3.5psf</t>
        </r>
      </text>
    </comment>
    <comment ref="P68" authorId="0">
      <text>
        <r>
          <rPr>
            <b/>
            <sz val="8"/>
            <rFont val="Tahoma"/>
            <family val="0"/>
          </rPr>
          <t>3.5psf</t>
        </r>
      </text>
    </comment>
    <comment ref="P78" authorId="0">
      <text>
        <r>
          <rPr>
            <b/>
            <sz val="8"/>
            <rFont val="Tahoma"/>
            <family val="0"/>
          </rPr>
          <t>3.5psf</t>
        </r>
      </text>
    </comment>
    <comment ref="P79" authorId="0">
      <text>
        <r>
          <rPr>
            <b/>
            <sz val="8"/>
            <rFont val="Tahoma"/>
            <family val="0"/>
          </rPr>
          <t>3.5psf</t>
        </r>
      </text>
    </comment>
    <comment ref="P80" authorId="0">
      <text>
        <r>
          <rPr>
            <b/>
            <sz val="8"/>
            <rFont val="Tahoma"/>
            <family val="0"/>
          </rPr>
          <t>3.5psf</t>
        </r>
      </text>
    </comment>
    <comment ref="P81" authorId="0">
      <text>
        <r>
          <rPr>
            <b/>
            <sz val="8"/>
            <rFont val="Tahoma"/>
            <family val="0"/>
          </rPr>
          <t>3.5psf</t>
        </r>
      </text>
    </comment>
    <comment ref="P82" authorId="0">
      <text>
        <r>
          <rPr>
            <b/>
            <sz val="8"/>
            <rFont val="Tahoma"/>
            <family val="0"/>
          </rPr>
          <t>3.5psf</t>
        </r>
      </text>
    </comment>
    <comment ref="P83" authorId="0">
      <text>
        <r>
          <rPr>
            <b/>
            <sz val="8"/>
            <rFont val="Tahoma"/>
            <family val="0"/>
          </rPr>
          <t>3.5psf</t>
        </r>
      </text>
    </comment>
    <comment ref="P84" authorId="0">
      <text>
        <r>
          <rPr>
            <b/>
            <sz val="8"/>
            <rFont val="Tahoma"/>
            <family val="0"/>
          </rPr>
          <t>3.5psf</t>
        </r>
      </text>
    </comment>
    <comment ref="P85" authorId="0">
      <text>
        <r>
          <rPr>
            <b/>
            <sz val="8"/>
            <rFont val="Tahoma"/>
            <family val="0"/>
          </rPr>
          <t>3.5psf</t>
        </r>
      </text>
    </comment>
    <comment ref="P86" authorId="0">
      <text>
        <r>
          <rPr>
            <b/>
            <sz val="8"/>
            <rFont val="Tahoma"/>
            <family val="0"/>
          </rPr>
          <t>3.5psf</t>
        </r>
      </text>
    </comment>
    <comment ref="P87" authorId="0">
      <text>
        <r>
          <rPr>
            <b/>
            <sz val="8"/>
            <rFont val="Tahoma"/>
            <family val="0"/>
          </rPr>
          <t>3.5psf</t>
        </r>
      </text>
    </comment>
    <comment ref="P88" authorId="0">
      <text>
        <r>
          <rPr>
            <b/>
            <sz val="8"/>
            <rFont val="Tahoma"/>
            <family val="0"/>
          </rPr>
          <t>3.5psf</t>
        </r>
      </text>
    </comment>
    <comment ref="P89" authorId="0">
      <text>
        <r>
          <rPr>
            <b/>
            <sz val="8"/>
            <rFont val="Tahoma"/>
            <family val="0"/>
          </rPr>
          <t>3.5psf</t>
        </r>
      </text>
    </comment>
    <comment ref="P90" authorId="0">
      <text>
        <r>
          <rPr>
            <b/>
            <sz val="8"/>
            <rFont val="Tahoma"/>
            <family val="0"/>
          </rPr>
          <t>3.5psf</t>
        </r>
      </text>
    </comment>
    <comment ref="P91" authorId="0">
      <text>
        <r>
          <rPr>
            <b/>
            <sz val="8"/>
            <rFont val="Tahoma"/>
            <family val="0"/>
          </rPr>
          <t>3.5psf</t>
        </r>
      </text>
    </comment>
    <comment ref="P92" authorId="0">
      <text>
        <r>
          <rPr>
            <b/>
            <sz val="8"/>
            <rFont val="Tahoma"/>
            <family val="0"/>
          </rPr>
          <t>3.5psf</t>
        </r>
      </text>
    </comment>
    <comment ref="P94" authorId="0">
      <text>
        <r>
          <rPr>
            <b/>
            <sz val="8"/>
            <rFont val="Tahoma"/>
            <family val="0"/>
          </rPr>
          <t>3.5psf</t>
        </r>
      </text>
    </comment>
    <comment ref="P95" authorId="0">
      <text>
        <r>
          <rPr>
            <b/>
            <sz val="8"/>
            <rFont val="Tahoma"/>
            <family val="0"/>
          </rPr>
          <t>3.5psf</t>
        </r>
      </text>
    </comment>
    <comment ref="P96" authorId="0">
      <text>
        <r>
          <rPr>
            <b/>
            <sz val="8"/>
            <rFont val="Tahoma"/>
            <family val="0"/>
          </rPr>
          <t>3.5psf</t>
        </r>
      </text>
    </comment>
    <comment ref="P97" authorId="0">
      <text>
        <r>
          <rPr>
            <b/>
            <sz val="8"/>
            <rFont val="Tahoma"/>
            <family val="0"/>
          </rPr>
          <t>3.5psf</t>
        </r>
      </text>
    </comment>
    <comment ref="P98" authorId="0">
      <text>
        <r>
          <rPr>
            <b/>
            <sz val="8"/>
            <rFont val="Tahoma"/>
            <family val="0"/>
          </rPr>
          <t>3.5psf</t>
        </r>
      </text>
    </comment>
    <comment ref="P99" authorId="0">
      <text>
        <r>
          <rPr>
            <b/>
            <sz val="8"/>
            <rFont val="Tahoma"/>
            <family val="0"/>
          </rPr>
          <t>3.5psf</t>
        </r>
      </text>
    </comment>
    <comment ref="P100" authorId="0">
      <text>
        <r>
          <rPr>
            <b/>
            <sz val="8"/>
            <rFont val="Tahoma"/>
            <family val="0"/>
          </rPr>
          <t>3.5psf</t>
        </r>
      </text>
    </comment>
    <comment ref="P101" authorId="0">
      <text>
        <r>
          <rPr>
            <b/>
            <sz val="8"/>
            <rFont val="Tahoma"/>
            <family val="0"/>
          </rPr>
          <t>3.5psf</t>
        </r>
      </text>
    </comment>
    <comment ref="P102" authorId="0">
      <text>
        <r>
          <rPr>
            <b/>
            <sz val="8"/>
            <rFont val="Tahoma"/>
            <family val="0"/>
          </rPr>
          <t>3.5psf</t>
        </r>
      </text>
    </comment>
    <comment ref="P103" authorId="0">
      <text>
        <r>
          <rPr>
            <b/>
            <sz val="8"/>
            <rFont val="Tahoma"/>
            <family val="0"/>
          </rPr>
          <t>3.5psf</t>
        </r>
      </text>
    </comment>
    <comment ref="P104" authorId="0">
      <text>
        <r>
          <rPr>
            <b/>
            <sz val="8"/>
            <rFont val="Tahoma"/>
            <family val="0"/>
          </rPr>
          <t>3.5psf</t>
        </r>
      </text>
    </comment>
    <comment ref="P112" authorId="0">
      <text>
        <r>
          <rPr>
            <b/>
            <sz val="8"/>
            <rFont val="Tahoma"/>
            <family val="0"/>
          </rPr>
          <t xml:space="preserve">NOT STATED
ASSUMED 0
</t>
        </r>
      </text>
    </comment>
    <comment ref="Q112" authorId="0">
      <text>
        <r>
          <rPr>
            <b/>
            <sz val="8"/>
            <rFont val="Tahoma"/>
            <family val="0"/>
          </rPr>
          <t xml:space="preserve">NOT STATED
ASSUMED 0
</t>
        </r>
      </text>
    </comment>
    <comment ref="R112" authorId="0">
      <text>
        <r>
          <rPr>
            <b/>
            <sz val="8"/>
            <rFont val="Tahoma"/>
            <family val="0"/>
          </rPr>
          <t xml:space="preserve">NOT STATED
ASSUMED 0
</t>
        </r>
      </text>
    </comment>
    <comment ref="P114" authorId="0">
      <text>
        <r>
          <rPr>
            <b/>
            <sz val="8"/>
            <rFont val="Tahoma"/>
            <family val="0"/>
          </rPr>
          <t xml:space="preserve">NOT STATED
ASSUMED 0
</t>
        </r>
      </text>
    </comment>
    <comment ref="P115" authorId="0">
      <text>
        <r>
          <rPr>
            <b/>
            <sz val="8"/>
            <rFont val="Tahoma"/>
            <family val="0"/>
          </rPr>
          <t xml:space="preserve">NOT STATED
ASSUMED 0
</t>
        </r>
      </text>
    </comment>
    <comment ref="Q113" authorId="0">
      <text>
        <r>
          <rPr>
            <b/>
            <sz val="8"/>
            <rFont val="Tahoma"/>
            <family val="0"/>
          </rPr>
          <t xml:space="preserve">NOT STATED
ASSUMED 0
</t>
        </r>
      </text>
    </comment>
    <comment ref="R113" authorId="0">
      <text>
        <r>
          <rPr>
            <b/>
            <sz val="8"/>
            <rFont val="Tahoma"/>
            <family val="0"/>
          </rPr>
          <t xml:space="preserve">NOT STATED
ASSUMED 0
</t>
        </r>
      </text>
    </comment>
    <comment ref="Q114" authorId="0">
      <text>
        <r>
          <rPr>
            <b/>
            <sz val="8"/>
            <rFont val="Tahoma"/>
            <family val="0"/>
          </rPr>
          <t xml:space="preserve">NOT STATED
ASSUMED 0
</t>
        </r>
      </text>
    </comment>
    <comment ref="R114" authorId="0">
      <text>
        <r>
          <rPr>
            <b/>
            <sz val="8"/>
            <rFont val="Tahoma"/>
            <family val="0"/>
          </rPr>
          <t xml:space="preserve">NOT STATED
ASSUMED 0
</t>
        </r>
      </text>
    </comment>
    <comment ref="Q115" authorId="0">
      <text>
        <r>
          <rPr>
            <b/>
            <sz val="8"/>
            <rFont val="Tahoma"/>
            <family val="0"/>
          </rPr>
          <t xml:space="preserve">NOT STATED
ASSUMED 0
</t>
        </r>
      </text>
    </comment>
    <comment ref="R115" authorId="0">
      <text>
        <r>
          <rPr>
            <b/>
            <sz val="8"/>
            <rFont val="Tahoma"/>
            <family val="0"/>
          </rPr>
          <t xml:space="preserve">NOT STATED
ASSUMED 0
</t>
        </r>
      </text>
    </comment>
    <comment ref="H5" authorId="0">
      <text>
        <r>
          <rPr>
            <b/>
            <sz val="8"/>
            <rFont val="Tahoma"/>
            <family val="0"/>
          </rPr>
          <t>Not used yet.</t>
        </r>
      </text>
    </comment>
    <comment ref="C5" authorId="0">
      <text>
        <r>
          <rPr>
            <b/>
            <sz val="8"/>
            <rFont val="Tahoma"/>
            <family val="0"/>
          </rPr>
          <t>Commonly used floor numbering. Ground floor=floor 1.</t>
        </r>
      </text>
    </comment>
    <comment ref="B5" authorId="0">
      <text>
        <r>
          <rPr>
            <b/>
            <sz val="8"/>
            <rFont val="Tahoma"/>
            <family val="0"/>
          </rPr>
          <t>Absolute floor numbering. Lowest floor(b6)=floor 1.</t>
        </r>
      </text>
    </comment>
    <comment ref="A5" authorId="0">
      <text>
        <r>
          <rPr>
            <b/>
            <sz val="8"/>
            <rFont val="Tahoma"/>
            <family val="0"/>
          </rPr>
          <t>Reference floor numbering used for incrementing order sheet lookups. DO NOT MODIFY.</t>
        </r>
      </text>
    </comment>
    <comment ref="E3" authorId="0">
      <text>
        <r>
          <rPr>
            <b/>
            <sz val="8"/>
            <rFont val="Tahoma"/>
            <family val="0"/>
          </rPr>
          <t>Floor construction type, as specified by NIST.
NISTCSTAR1-2A
P226</t>
        </r>
      </text>
    </comment>
    <comment ref="I5" authorId="0">
      <text>
        <r>
          <rPr>
            <b/>
            <sz val="8"/>
            <rFont val="Tahoma"/>
            <family val="0"/>
          </rPr>
          <t>Formula from Urich to spread total steel mass across floors, taking account of the fact that columns are 16x thicker at the base than at the upper floors.</t>
        </r>
      </text>
    </comment>
    <comment ref="I3" authorId="0">
      <text>
        <r>
          <rPr>
            <b/>
            <sz val="8"/>
            <rFont val="Tahoma"/>
            <family val="0"/>
          </rPr>
          <t>Structural columnar support steel only.</t>
        </r>
      </text>
    </comment>
    <comment ref="M3" authorId="0">
      <text>
        <r>
          <rPr>
            <b/>
            <sz val="8"/>
            <rFont val="Tahoma"/>
            <family val="0"/>
          </rPr>
          <t>Concrete floor slab masses for outside and inside the core. Floor-by-floor source values sourced from 'Concrete Mass' sheet.</t>
        </r>
      </text>
    </comment>
    <comment ref="P5" authorId="0">
      <text>
        <r>
          <rPr>
            <b/>
            <sz val="8"/>
            <rFont val="Tahoma"/>
            <family val="0"/>
          </rPr>
          <t>Construction Dead Load, excluding structural steel columnar support mass and conclrete slab mass.</t>
        </r>
      </text>
    </comment>
    <comment ref="Q5" authorId="0">
      <text>
        <r>
          <rPr>
            <b/>
            <sz val="8"/>
            <rFont val="Tahoma"/>
            <family val="0"/>
          </rPr>
          <t>Superimposed Dead Load specifies maximum floor rated masses for permanent dead-loads such as architectural, plumbing and electrical systems, curtain walls, ceilings, partitions, floor finishes, mechanical equipment, ducts, transfromers etc.
NISTCSTAR1-2A P102</t>
        </r>
      </text>
    </comment>
    <comment ref="P3" authorId="0">
      <text>
        <r>
          <rPr>
            <b/>
            <sz val="8"/>
            <rFont val="Tahoma"/>
            <family val="0"/>
          </rPr>
          <t>The self-weight of interior and exterior support columns, exterior spandrels, core frame members, concrete floor slabs (inside and outside core), and structural steel members in the floor system is not included in this value, but is specified separately in the steel and concrete sections.
NISTNCSTAR1-2A P102</t>
        </r>
      </text>
    </comment>
    <comment ref="R5" authorId="0">
      <text>
        <r>
          <rPr>
            <b/>
            <sz val="8"/>
            <rFont val="Tahoma"/>
            <family val="0"/>
          </rPr>
          <t>MAXIMUM Live Load as per ASCE 7-02 as applied to original design specification for WTC.
NISTNCSTAR1-2A P102</t>
        </r>
      </text>
    </comment>
    <comment ref="X3" authorId="0">
      <text>
        <r>
          <rPr>
            <b/>
            <sz val="8"/>
            <rFont val="Tahoma"/>
            <family val="0"/>
          </rPr>
          <t>Simple sub-total of indise and outside CDL and SDL from the values on the left.</t>
        </r>
      </text>
    </comment>
    <comment ref="Z3" authorId="0">
      <text>
        <r>
          <rPr>
            <b/>
            <sz val="8"/>
            <rFont val="Tahoma"/>
            <family val="0"/>
          </rPr>
          <t>Simple sub-total of the Live Load values on the left.</t>
        </r>
      </text>
    </comment>
    <comment ref="AF5" authorId="0">
      <text>
        <r>
          <rPr>
            <b/>
            <sz val="8"/>
            <rFont val="Tahoma"/>
            <family val="0"/>
          </rPr>
          <t>Included for information only, showing that the steel mass percentage towards the base makes a significant proportion of the entire floor mass.</t>
        </r>
      </text>
    </comment>
    <comment ref="AJ5" authorId="0">
      <text>
        <r>
          <rPr>
            <b/>
            <sz val="8"/>
            <rFont val="Tahoma"/>
            <family val="0"/>
          </rPr>
          <t>Greening sourced values for perimeter and core collapse are used from the roof to th floor Greening calculated. As the structural supports are gradually thicker further towards the base, this initial value is scaled up using a linear increas to 16x at the base, reflecting that the steel support columns in the core were 16x thicker at the base than at the initial level calculated by Greening.</t>
        </r>
      </text>
    </comment>
    <comment ref="AM3" authorId="0">
      <text>
        <r>
          <rPr>
            <b/>
            <sz val="8"/>
            <rFont val="Tahoma"/>
            <family val="0"/>
          </rPr>
          <t>Energy required to crush the calculated volume of concrete into the specified scale of particles.</t>
        </r>
      </text>
    </comment>
  </commentList>
</comments>
</file>

<file path=xl/comments4.xml><?xml version="1.0" encoding="utf-8"?>
<comments xmlns="http://schemas.openxmlformats.org/spreadsheetml/2006/main">
  <authors>
    <author>Ray</author>
  </authors>
  <commentList>
    <comment ref="D54" authorId="0">
      <text>
        <r>
          <rPr>
            <b/>
            <sz val="8"/>
            <rFont val="Tahoma"/>
            <family val="0"/>
          </rPr>
          <t>NISTNCSTAR1-2A
P89
6.1IN</t>
        </r>
      </text>
    </comment>
    <comment ref="D57" authorId="0">
      <text>
        <r>
          <rPr>
            <b/>
            <sz val="8"/>
            <rFont val="Tahoma"/>
            <family val="0"/>
          </rPr>
          <t>4in</t>
        </r>
      </text>
    </comment>
    <comment ref="D58" authorId="0">
      <text>
        <r>
          <rPr>
            <b/>
            <sz val="8"/>
            <rFont val="Tahoma"/>
            <family val="0"/>
          </rPr>
          <t>4in</t>
        </r>
      </text>
    </comment>
    <comment ref="D59" authorId="0">
      <text>
        <r>
          <rPr>
            <b/>
            <sz val="8"/>
            <rFont val="Tahoma"/>
            <family val="0"/>
          </rPr>
          <t>4in</t>
        </r>
      </text>
    </comment>
    <comment ref="D60" authorId="0">
      <text>
        <r>
          <rPr>
            <b/>
            <sz val="8"/>
            <rFont val="Tahoma"/>
            <family val="0"/>
          </rPr>
          <t>4in</t>
        </r>
      </text>
    </comment>
    <comment ref="D61" authorId="0">
      <text>
        <r>
          <rPr>
            <b/>
            <sz val="8"/>
            <rFont val="Tahoma"/>
            <family val="0"/>
          </rPr>
          <t>4in</t>
        </r>
      </text>
    </comment>
    <comment ref="D62" authorId="0">
      <text>
        <r>
          <rPr>
            <b/>
            <sz val="8"/>
            <rFont val="Tahoma"/>
            <family val="0"/>
          </rPr>
          <t>4in</t>
        </r>
      </text>
    </comment>
    <comment ref="D63" authorId="0">
      <text>
        <r>
          <rPr>
            <b/>
            <sz val="8"/>
            <rFont val="Tahoma"/>
            <family val="0"/>
          </rPr>
          <t>4in</t>
        </r>
      </text>
    </comment>
    <comment ref="D64" authorId="0">
      <text>
        <r>
          <rPr>
            <b/>
            <sz val="8"/>
            <rFont val="Tahoma"/>
            <family val="0"/>
          </rPr>
          <t>4in</t>
        </r>
      </text>
    </comment>
    <comment ref="D65" authorId="0">
      <text>
        <r>
          <rPr>
            <b/>
            <sz val="8"/>
            <rFont val="Tahoma"/>
            <family val="0"/>
          </rPr>
          <t>4in</t>
        </r>
      </text>
    </comment>
    <comment ref="D66" authorId="0">
      <text>
        <r>
          <rPr>
            <b/>
            <sz val="8"/>
            <rFont val="Tahoma"/>
            <family val="0"/>
          </rPr>
          <t>4in</t>
        </r>
      </text>
    </comment>
    <comment ref="D67" authorId="0">
      <text>
        <r>
          <rPr>
            <b/>
            <sz val="8"/>
            <rFont val="Tahoma"/>
            <family val="0"/>
          </rPr>
          <t>4in</t>
        </r>
      </text>
    </comment>
    <comment ref="D68" authorId="0">
      <text>
        <r>
          <rPr>
            <b/>
            <sz val="8"/>
            <rFont val="Tahoma"/>
            <family val="0"/>
          </rPr>
          <t>4in</t>
        </r>
      </text>
    </comment>
    <comment ref="D69" authorId="0">
      <text>
        <r>
          <rPr>
            <b/>
            <sz val="8"/>
            <rFont val="Tahoma"/>
            <family val="0"/>
          </rPr>
          <t>4in</t>
        </r>
      </text>
    </comment>
    <comment ref="D70" authorId="0">
      <text>
        <r>
          <rPr>
            <b/>
            <sz val="8"/>
            <rFont val="Tahoma"/>
            <family val="0"/>
          </rPr>
          <t>4in</t>
        </r>
      </text>
    </comment>
    <comment ref="D71" authorId="0">
      <text>
        <r>
          <rPr>
            <b/>
            <sz val="8"/>
            <rFont val="Tahoma"/>
            <family val="0"/>
          </rPr>
          <t>4in</t>
        </r>
      </text>
    </comment>
    <comment ref="D72" authorId="0">
      <text>
        <r>
          <rPr>
            <b/>
            <sz val="8"/>
            <rFont val="Tahoma"/>
            <family val="0"/>
          </rPr>
          <t>4in</t>
        </r>
      </text>
    </comment>
    <comment ref="D73" authorId="0">
      <text>
        <r>
          <rPr>
            <b/>
            <sz val="8"/>
            <rFont val="Tahoma"/>
            <family val="0"/>
          </rPr>
          <t>4in</t>
        </r>
      </text>
    </comment>
    <comment ref="D74" authorId="0">
      <text>
        <r>
          <rPr>
            <b/>
            <sz val="8"/>
            <rFont val="Tahoma"/>
            <family val="0"/>
          </rPr>
          <t>4in</t>
        </r>
      </text>
    </comment>
    <comment ref="D75" authorId="0">
      <text>
        <r>
          <rPr>
            <b/>
            <sz val="8"/>
            <rFont val="Tahoma"/>
            <family val="0"/>
          </rPr>
          <t>4in</t>
        </r>
      </text>
    </comment>
    <comment ref="D76" authorId="0">
      <text>
        <r>
          <rPr>
            <b/>
            <sz val="8"/>
            <rFont val="Tahoma"/>
            <family val="0"/>
          </rPr>
          <t>4in</t>
        </r>
      </text>
    </comment>
    <comment ref="D77" authorId="0">
      <text>
        <r>
          <rPr>
            <b/>
            <sz val="8"/>
            <rFont val="Tahoma"/>
            <family val="0"/>
          </rPr>
          <t>4in</t>
        </r>
      </text>
    </comment>
    <comment ref="D78" authorId="0">
      <text>
        <r>
          <rPr>
            <b/>
            <sz val="8"/>
            <rFont val="Tahoma"/>
            <family val="0"/>
          </rPr>
          <t>4in</t>
        </r>
      </text>
    </comment>
    <comment ref="D79" authorId="0">
      <text>
        <r>
          <rPr>
            <b/>
            <sz val="8"/>
            <rFont val="Tahoma"/>
            <family val="0"/>
          </rPr>
          <t>4in</t>
        </r>
      </text>
    </comment>
    <comment ref="D80" authorId="0">
      <text>
        <r>
          <rPr>
            <b/>
            <sz val="8"/>
            <rFont val="Tahoma"/>
            <family val="0"/>
          </rPr>
          <t>4in</t>
        </r>
      </text>
    </comment>
    <comment ref="D81" authorId="0">
      <text>
        <r>
          <rPr>
            <b/>
            <sz val="8"/>
            <rFont val="Tahoma"/>
            <family val="0"/>
          </rPr>
          <t>4in</t>
        </r>
      </text>
    </comment>
    <comment ref="D82" authorId="0">
      <text>
        <r>
          <rPr>
            <b/>
            <sz val="8"/>
            <rFont val="Tahoma"/>
            <family val="0"/>
          </rPr>
          <t>4in</t>
        </r>
      </text>
    </comment>
    <comment ref="D83" authorId="0">
      <text>
        <r>
          <rPr>
            <b/>
            <sz val="8"/>
            <rFont val="Tahoma"/>
            <family val="0"/>
          </rPr>
          <t>4in</t>
        </r>
      </text>
    </comment>
    <comment ref="D84" authorId="0">
      <text>
        <r>
          <rPr>
            <b/>
            <sz val="8"/>
            <rFont val="Tahoma"/>
            <family val="0"/>
          </rPr>
          <t>4in</t>
        </r>
      </text>
    </comment>
    <comment ref="D85" authorId="0">
      <text>
        <r>
          <rPr>
            <b/>
            <sz val="8"/>
            <rFont val="Tahoma"/>
            <family val="0"/>
          </rPr>
          <t>4in</t>
        </r>
      </text>
    </comment>
    <comment ref="D86" authorId="0">
      <text>
        <r>
          <rPr>
            <b/>
            <sz val="8"/>
            <rFont val="Tahoma"/>
            <family val="0"/>
          </rPr>
          <t>4in</t>
        </r>
      </text>
    </comment>
    <comment ref="D87" authorId="0">
      <text>
        <r>
          <rPr>
            <b/>
            <sz val="8"/>
            <rFont val="Tahoma"/>
            <family val="0"/>
          </rPr>
          <t>4in</t>
        </r>
      </text>
    </comment>
    <comment ref="D91" authorId="0">
      <text>
        <r>
          <rPr>
            <b/>
            <sz val="8"/>
            <rFont val="Tahoma"/>
            <family val="0"/>
          </rPr>
          <t>4in</t>
        </r>
      </text>
    </comment>
    <comment ref="D92" authorId="0">
      <text>
        <r>
          <rPr>
            <b/>
            <sz val="8"/>
            <rFont val="Tahoma"/>
            <family val="0"/>
          </rPr>
          <t>4in</t>
        </r>
      </text>
    </comment>
    <comment ref="D93" authorId="0">
      <text>
        <r>
          <rPr>
            <b/>
            <sz val="8"/>
            <rFont val="Tahoma"/>
            <family val="0"/>
          </rPr>
          <t>4in</t>
        </r>
      </text>
    </comment>
    <comment ref="D94" authorId="0">
      <text>
        <r>
          <rPr>
            <b/>
            <sz val="8"/>
            <rFont val="Tahoma"/>
            <family val="0"/>
          </rPr>
          <t>4in</t>
        </r>
      </text>
    </comment>
    <comment ref="D95" authorId="0">
      <text>
        <r>
          <rPr>
            <b/>
            <sz val="8"/>
            <rFont val="Tahoma"/>
            <family val="0"/>
          </rPr>
          <t>4in</t>
        </r>
      </text>
    </comment>
    <comment ref="D96" authorId="0">
      <text>
        <r>
          <rPr>
            <b/>
            <sz val="8"/>
            <rFont val="Tahoma"/>
            <family val="0"/>
          </rPr>
          <t>4in</t>
        </r>
      </text>
    </comment>
    <comment ref="D97" authorId="0">
      <text>
        <r>
          <rPr>
            <b/>
            <sz val="8"/>
            <rFont val="Tahoma"/>
            <family val="0"/>
          </rPr>
          <t>4in</t>
        </r>
      </text>
    </comment>
    <comment ref="D98" authorId="0">
      <text>
        <r>
          <rPr>
            <b/>
            <sz val="8"/>
            <rFont val="Tahoma"/>
            <family val="0"/>
          </rPr>
          <t>4in</t>
        </r>
      </text>
    </comment>
    <comment ref="D99" authorId="0">
      <text>
        <r>
          <rPr>
            <b/>
            <sz val="8"/>
            <rFont val="Tahoma"/>
            <family val="0"/>
          </rPr>
          <t>4in</t>
        </r>
      </text>
    </comment>
    <comment ref="D100" authorId="0">
      <text>
        <r>
          <rPr>
            <b/>
            <sz val="8"/>
            <rFont val="Tahoma"/>
            <family val="0"/>
          </rPr>
          <t>4in</t>
        </r>
      </text>
    </comment>
    <comment ref="D101" authorId="0">
      <text>
        <r>
          <rPr>
            <b/>
            <sz val="8"/>
            <rFont val="Tahoma"/>
            <family val="0"/>
          </rPr>
          <t>4in</t>
        </r>
      </text>
    </comment>
    <comment ref="D102" authorId="0">
      <text>
        <r>
          <rPr>
            <b/>
            <sz val="8"/>
            <rFont val="Tahoma"/>
            <family val="0"/>
          </rPr>
          <t>4in</t>
        </r>
      </text>
    </comment>
    <comment ref="D103" authorId="0">
      <text>
        <r>
          <rPr>
            <b/>
            <sz val="8"/>
            <rFont val="Tahoma"/>
            <family val="0"/>
          </rPr>
          <t>4in</t>
        </r>
      </text>
    </comment>
    <comment ref="D104" authorId="0">
      <text>
        <r>
          <rPr>
            <b/>
            <sz val="8"/>
            <rFont val="Tahoma"/>
            <family val="0"/>
          </rPr>
          <t>4in</t>
        </r>
      </text>
    </comment>
    <comment ref="D105" authorId="0">
      <text>
        <r>
          <rPr>
            <b/>
            <sz val="8"/>
            <rFont val="Tahoma"/>
            <family val="0"/>
          </rPr>
          <t>4in</t>
        </r>
      </text>
    </comment>
    <comment ref="D106" authorId="0">
      <text>
        <r>
          <rPr>
            <b/>
            <sz val="8"/>
            <rFont val="Tahoma"/>
            <family val="0"/>
          </rPr>
          <t>4in</t>
        </r>
      </text>
    </comment>
    <comment ref="D107" authorId="0">
      <text>
        <r>
          <rPr>
            <b/>
            <sz val="8"/>
            <rFont val="Tahoma"/>
            <family val="0"/>
          </rPr>
          <t>4in</t>
        </r>
      </text>
    </comment>
    <comment ref="D108" authorId="0">
      <text>
        <r>
          <rPr>
            <b/>
            <sz val="8"/>
            <rFont val="Tahoma"/>
            <family val="0"/>
          </rPr>
          <t>4in</t>
        </r>
      </text>
    </comment>
    <comment ref="D109" authorId="0">
      <text>
        <r>
          <rPr>
            <b/>
            <sz val="8"/>
            <rFont val="Tahoma"/>
            <family val="0"/>
          </rPr>
          <t>4in</t>
        </r>
      </text>
    </comment>
    <comment ref="D110" authorId="0">
      <text>
        <r>
          <rPr>
            <b/>
            <sz val="8"/>
            <rFont val="Tahoma"/>
            <family val="0"/>
          </rPr>
          <t>4in</t>
        </r>
      </text>
    </comment>
    <comment ref="D111" authorId="0">
      <text>
        <r>
          <rPr>
            <b/>
            <sz val="8"/>
            <rFont val="Tahoma"/>
            <family val="0"/>
          </rPr>
          <t>4in</t>
        </r>
      </text>
    </comment>
    <comment ref="D112" authorId="0">
      <text>
        <r>
          <rPr>
            <b/>
            <sz val="8"/>
            <rFont val="Tahoma"/>
            <family val="0"/>
          </rPr>
          <t>4in</t>
        </r>
      </text>
    </comment>
    <comment ref="D113" authorId="0">
      <text>
        <r>
          <rPr>
            <b/>
            <sz val="8"/>
            <rFont val="Tahoma"/>
            <family val="0"/>
          </rPr>
          <t>4in</t>
        </r>
      </text>
    </comment>
    <comment ref="D114" authorId="0">
      <text>
        <r>
          <rPr>
            <b/>
            <sz val="8"/>
            <rFont val="Tahoma"/>
            <family val="0"/>
          </rPr>
          <t>4in</t>
        </r>
      </text>
    </comment>
    <comment ref="D115" authorId="0">
      <text>
        <r>
          <rPr>
            <b/>
            <sz val="8"/>
            <rFont val="Tahoma"/>
            <family val="0"/>
          </rPr>
          <t>4in</t>
        </r>
      </text>
    </comment>
    <comment ref="D116" authorId="0">
      <text>
        <r>
          <rPr>
            <b/>
            <sz val="8"/>
            <rFont val="Tahoma"/>
            <family val="0"/>
          </rPr>
          <t>4in</t>
        </r>
      </text>
    </comment>
    <comment ref="D117" authorId="0">
      <text>
        <r>
          <rPr>
            <b/>
            <sz val="8"/>
            <rFont val="Tahoma"/>
            <family val="0"/>
          </rPr>
          <t>4in</t>
        </r>
      </text>
    </comment>
    <comment ref="D118" authorId="0">
      <text>
        <r>
          <rPr>
            <b/>
            <sz val="8"/>
            <rFont val="Tahoma"/>
            <family val="0"/>
          </rPr>
          <t>4in</t>
        </r>
      </text>
    </comment>
    <comment ref="D119" authorId="0">
      <text>
        <r>
          <rPr>
            <b/>
            <sz val="8"/>
            <rFont val="Tahoma"/>
            <family val="0"/>
          </rPr>
          <t>4in</t>
        </r>
      </text>
    </comment>
    <comment ref="D120" authorId="0">
      <text>
        <r>
          <rPr>
            <b/>
            <sz val="8"/>
            <rFont val="Tahoma"/>
            <family val="0"/>
          </rPr>
          <t>4in</t>
        </r>
      </text>
    </comment>
    <comment ref="D121" authorId="0">
      <text>
        <r>
          <rPr>
            <b/>
            <sz val="8"/>
            <rFont val="Tahoma"/>
            <family val="0"/>
          </rPr>
          <t>4in</t>
        </r>
      </text>
    </comment>
    <comment ref="D122" authorId="0">
      <text>
        <r>
          <rPr>
            <b/>
            <sz val="8"/>
            <rFont val="Tahoma"/>
            <family val="0"/>
          </rPr>
          <t>4in</t>
        </r>
      </text>
    </comment>
    <comment ref="D123" authorId="0">
      <text>
        <r>
          <rPr>
            <b/>
            <sz val="8"/>
            <rFont val="Tahoma"/>
            <family val="0"/>
          </rPr>
          <t>4in</t>
        </r>
      </text>
    </comment>
    <comment ref="D15" authorId="0">
      <text>
        <r>
          <rPr>
            <b/>
            <sz val="8"/>
            <rFont val="Tahoma"/>
            <family val="0"/>
          </rPr>
          <t>4in</t>
        </r>
      </text>
    </comment>
    <comment ref="D16" authorId="0">
      <text>
        <r>
          <rPr>
            <b/>
            <sz val="8"/>
            <rFont val="Tahoma"/>
            <family val="0"/>
          </rPr>
          <t>4in</t>
        </r>
      </text>
    </comment>
    <comment ref="D17" authorId="0">
      <text>
        <r>
          <rPr>
            <b/>
            <sz val="8"/>
            <rFont val="Tahoma"/>
            <family val="0"/>
          </rPr>
          <t>4in</t>
        </r>
      </text>
    </comment>
    <comment ref="D18" authorId="0">
      <text>
        <r>
          <rPr>
            <b/>
            <sz val="8"/>
            <rFont val="Tahoma"/>
            <family val="0"/>
          </rPr>
          <t>4in</t>
        </r>
      </text>
    </comment>
    <comment ref="D19" authorId="0">
      <text>
        <r>
          <rPr>
            <b/>
            <sz val="8"/>
            <rFont val="Tahoma"/>
            <family val="0"/>
          </rPr>
          <t>4in</t>
        </r>
      </text>
    </comment>
    <comment ref="D20" authorId="0">
      <text>
        <r>
          <rPr>
            <b/>
            <sz val="8"/>
            <rFont val="Tahoma"/>
            <family val="0"/>
          </rPr>
          <t>4in</t>
        </r>
      </text>
    </comment>
    <comment ref="D21" authorId="0">
      <text>
        <r>
          <rPr>
            <b/>
            <sz val="8"/>
            <rFont val="Tahoma"/>
            <family val="0"/>
          </rPr>
          <t>4in</t>
        </r>
      </text>
    </comment>
    <comment ref="D22" authorId="0">
      <text>
        <r>
          <rPr>
            <b/>
            <sz val="8"/>
            <rFont val="Tahoma"/>
            <family val="0"/>
          </rPr>
          <t>4in</t>
        </r>
      </text>
    </comment>
    <comment ref="D23" authorId="0">
      <text>
        <r>
          <rPr>
            <b/>
            <sz val="8"/>
            <rFont val="Tahoma"/>
            <family val="0"/>
          </rPr>
          <t>4in</t>
        </r>
      </text>
    </comment>
    <comment ref="D24" authorId="0">
      <text>
        <r>
          <rPr>
            <b/>
            <sz val="8"/>
            <rFont val="Tahoma"/>
            <family val="0"/>
          </rPr>
          <t>4in</t>
        </r>
      </text>
    </comment>
    <comment ref="D25" authorId="0">
      <text>
        <r>
          <rPr>
            <b/>
            <sz val="8"/>
            <rFont val="Tahoma"/>
            <family val="0"/>
          </rPr>
          <t>4in</t>
        </r>
      </text>
    </comment>
    <comment ref="D26" authorId="0">
      <text>
        <r>
          <rPr>
            <b/>
            <sz val="8"/>
            <rFont val="Tahoma"/>
            <family val="0"/>
          </rPr>
          <t>4in</t>
        </r>
      </text>
    </comment>
    <comment ref="D27" authorId="0">
      <text>
        <r>
          <rPr>
            <b/>
            <sz val="8"/>
            <rFont val="Tahoma"/>
            <family val="0"/>
          </rPr>
          <t>4in</t>
        </r>
      </text>
    </comment>
    <comment ref="D28" authorId="0">
      <text>
        <r>
          <rPr>
            <b/>
            <sz val="8"/>
            <rFont val="Tahoma"/>
            <family val="0"/>
          </rPr>
          <t>4in</t>
        </r>
      </text>
    </comment>
    <comment ref="D29" authorId="0">
      <text>
        <r>
          <rPr>
            <b/>
            <sz val="8"/>
            <rFont val="Tahoma"/>
            <family val="0"/>
          </rPr>
          <t>4in</t>
        </r>
      </text>
    </comment>
    <comment ref="D30" authorId="0">
      <text>
        <r>
          <rPr>
            <b/>
            <sz val="8"/>
            <rFont val="Tahoma"/>
            <family val="0"/>
          </rPr>
          <t>4in</t>
        </r>
      </text>
    </comment>
    <comment ref="D31" authorId="0">
      <text>
        <r>
          <rPr>
            <b/>
            <sz val="8"/>
            <rFont val="Tahoma"/>
            <family val="0"/>
          </rPr>
          <t>4in</t>
        </r>
      </text>
    </comment>
    <comment ref="D32" authorId="0">
      <text>
        <r>
          <rPr>
            <b/>
            <sz val="8"/>
            <rFont val="Tahoma"/>
            <family val="0"/>
          </rPr>
          <t>4in</t>
        </r>
      </text>
    </comment>
    <comment ref="D33" authorId="0">
      <text>
        <r>
          <rPr>
            <b/>
            <sz val="8"/>
            <rFont val="Tahoma"/>
            <family val="0"/>
          </rPr>
          <t>4in</t>
        </r>
      </text>
    </comment>
    <comment ref="D34" authorId="0">
      <text>
        <r>
          <rPr>
            <b/>
            <sz val="8"/>
            <rFont val="Tahoma"/>
            <family val="0"/>
          </rPr>
          <t>4in</t>
        </r>
      </text>
    </comment>
    <comment ref="D35" authorId="0">
      <text>
        <r>
          <rPr>
            <b/>
            <sz val="8"/>
            <rFont val="Tahoma"/>
            <family val="0"/>
          </rPr>
          <t>4in</t>
        </r>
      </text>
    </comment>
    <comment ref="D36" authorId="0">
      <text>
        <r>
          <rPr>
            <b/>
            <sz val="8"/>
            <rFont val="Tahoma"/>
            <family val="0"/>
          </rPr>
          <t>4in</t>
        </r>
      </text>
    </comment>
    <comment ref="D37" authorId="0">
      <text>
        <r>
          <rPr>
            <b/>
            <sz val="8"/>
            <rFont val="Tahoma"/>
            <family val="0"/>
          </rPr>
          <t>4in</t>
        </r>
      </text>
    </comment>
    <comment ref="D38" authorId="0">
      <text>
        <r>
          <rPr>
            <b/>
            <sz val="8"/>
            <rFont val="Tahoma"/>
            <family val="0"/>
          </rPr>
          <t>4in</t>
        </r>
      </text>
    </comment>
    <comment ref="D39" authorId="0">
      <text>
        <r>
          <rPr>
            <b/>
            <sz val="8"/>
            <rFont val="Tahoma"/>
            <family val="0"/>
          </rPr>
          <t>4in</t>
        </r>
      </text>
    </comment>
    <comment ref="D40" authorId="0">
      <text>
        <r>
          <rPr>
            <b/>
            <sz val="8"/>
            <rFont val="Tahoma"/>
            <family val="0"/>
          </rPr>
          <t>4in</t>
        </r>
      </text>
    </comment>
    <comment ref="D41" authorId="0">
      <text>
        <r>
          <rPr>
            <b/>
            <sz val="8"/>
            <rFont val="Tahoma"/>
            <family val="0"/>
          </rPr>
          <t>4in</t>
        </r>
      </text>
    </comment>
    <comment ref="D42" authorId="0">
      <text>
        <r>
          <rPr>
            <b/>
            <sz val="8"/>
            <rFont val="Tahoma"/>
            <family val="0"/>
          </rPr>
          <t>4in</t>
        </r>
      </text>
    </comment>
    <comment ref="D43" authorId="0">
      <text>
        <r>
          <rPr>
            <b/>
            <sz val="8"/>
            <rFont val="Tahoma"/>
            <family val="0"/>
          </rPr>
          <t>4in</t>
        </r>
      </text>
    </comment>
    <comment ref="D44" authorId="0">
      <text>
        <r>
          <rPr>
            <b/>
            <sz val="8"/>
            <rFont val="Tahoma"/>
            <family val="0"/>
          </rPr>
          <t>4in</t>
        </r>
      </text>
    </comment>
    <comment ref="D45" authorId="0">
      <text>
        <r>
          <rPr>
            <b/>
            <sz val="8"/>
            <rFont val="Tahoma"/>
            <family val="0"/>
          </rPr>
          <t>4in</t>
        </r>
      </text>
    </comment>
    <comment ref="D46" authorId="0">
      <text>
        <r>
          <rPr>
            <b/>
            <sz val="8"/>
            <rFont val="Tahoma"/>
            <family val="0"/>
          </rPr>
          <t>4in</t>
        </r>
      </text>
    </comment>
    <comment ref="D47" authorId="0">
      <text>
        <r>
          <rPr>
            <b/>
            <sz val="8"/>
            <rFont val="Tahoma"/>
            <family val="0"/>
          </rPr>
          <t>4in</t>
        </r>
      </text>
    </comment>
    <comment ref="D48" authorId="0">
      <text>
        <r>
          <rPr>
            <b/>
            <sz val="8"/>
            <rFont val="Tahoma"/>
            <family val="0"/>
          </rPr>
          <t>4in</t>
        </r>
      </text>
    </comment>
    <comment ref="D49" authorId="0">
      <text>
        <r>
          <rPr>
            <b/>
            <sz val="8"/>
            <rFont val="Tahoma"/>
            <family val="0"/>
          </rPr>
          <t>4in</t>
        </r>
      </text>
    </comment>
    <comment ref="D50" authorId="0">
      <text>
        <r>
          <rPr>
            <b/>
            <sz val="8"/>
            <rFont val="Tahoma"/>
            <family val="0"/>
          </rPr>
          <t>4in</t>
        </r>
      </text>
    </comment>
    <comment ref="D51" authorId="0">
      <text>
        <r>
          <rPr>
            <b/>
            <sz val="8"/>
            <rFont val="Tahoma"/>
            <family val="0"/>
          </rPr>
          <t>4in</t>
        </r>
      </text>
    </comment>
    <comment ref="D52" authorId="0">
      <text>
        <r>
          <rPr>
            <b/>
            <sz val="8"/>
            <rFont val="Tahoma"/>
            <family val="0"/>
          </rPr>
          <t>4in</t>
        </r>
      </text>
    </comment>
    <comment ref="D53" authorId="0">
      <text>
        <r>
          <rPr>
            <b/>
            <sz val="8"/>
            <rFont val="Tahoma"/>
            <family val="0"/>
          </rPr>
          <t>4in</t>
        </r>
      </text>
    </comment>
    <comment ref="D55" authorId="0">
      <text>
        <r>
          <rPr>
            <b/>
            <sz val="8"/>
            <rFont val="Tahoma"/>
            <family val="0"/>
          </rPr>
          <t>NISTNCSTAR1-2A
P89
6.1IN</t>
        </r>
      </text>
    </comment>
    <comment ref="D56" authorId="0">
      <text>
        <r>
          <rPr>
            <b/>
            <sz val="8"/>
            <rFont val="Tahoma"/>
            <family val="0"/>
          </rPr>
          <t>NISTNCSTAR1-2A
P89
6.1IN</t>
        </r>
      </text>
    </comment>
    <comment ref="D88" authorId="0">
      <text>
        <r>
          <rPr>
            <b/>
            <sz val="8"/>
            <rFont val="Tahoma"/>
            <family val="0"/>
          </rPr>
          <t>NISTNCSTAR1-2A
P89
6.1IN</t>
        </r>
      </text>
    </comment>
    <comment ref="D89" authorId="0">
      <text>
        <r>
          <rPr>
            <b/>
            <sz val="8"/>
            <rFont val="Tahoma"/>
            <family val="0"/>
          </rPr>
          <t>NISTNCSTAR1-2A
P89
6.1IN</t>
        </r>
      </text>
    </comment>
    <comment ref="D90" authorId="0">
      <text>
        <r>
          <rPr>
            <b/>
            <sz val="8"/>
            <rFont val="Tahoma"/>
            <family val="0"/>
          </rPr>
          <t>NISTNCSTAR1-2A
P89
6.1IN</t>
        </r>
      </text>
    </comment>
  </commentList>
</comments>
</file>

<file path=xl/comments6.xml><?xml version="1.0" encoding="utf-8"?>
<comments xmlns="http://schemas.openxmlformats.org/spreadsheetml/2006/main">
  <authors>
    <author>Ray</author>
  </authors>
  <commentList>
    <comment ref="E5" authorId="0">
      <text>
        <r>
          <rPr>
            <b/>
            <sz val="8"/>
            <rFont val="Tahoma"/>
            <family val="0"/>
          </rPr>
          <t>DRAWING NO. A-AB-201 SHOWS THAT TOP OF PENTHOUSE IS HIGHER THAN 15' 4" DIMENSION GIVEN FOR FLOOR 110.</t>
        </r>
      </text>
    </comment>
    <comment ref="C3" authorId="0">
      <text>
        <r>
          <rPr>
            <b/>
            <sz val="8"/>
            <rFont val="Tahoma"/>
            <family val="0"/>
          </rPr>
          <t>Specific floor heights specified in released plan documentation. Source NIST.</t>
        </r>
      </text>
    </comment>
    <comment ref="H3" authorId="0">
      <text>
        <r>
          <rPr>
            <b/>
            <sz val="8"/>
            <rFont val="Tahoma"/>
            <family val="0"/>
          </rPr>
          <t>MAXIMUM free-fall in a vacuum speed of the fall of mass from the specified height.</t>
        </r>
      </text>
    </comment>
    <comment ref="I3" authorId="0">
      <text>
        <r>
          <rPr>
            <b/>
            <sz val="8"/>
            <rFont val="Tahoma"/>
            <family val="0"/>
          </rPr>
          <t>Uses the floor-by-floor calculated mass to determine specific Potential Energy of each floor. Accounts for the increased PE of the higher mass mechanical floors.</t>
        </r>
      </text>
    </comment>
  </commentList>
</comments>
</file>

<file path=xl/sharedStrings.xml><?xml version="1.0" encoding="utf-8"?>
<sst xmlns="http://schemas.openxmlformats.org/spreadsheetml/2006/main" count="352" uniqueCount="186">
  <si>
    <t>J</t>
  </si>
  <si>
    <t>m</t>
  </si>
  <si>
    <t>Initial Cap Floors</t>
  </si>
  <si>
    <t>Mass</t>
  </si>
  <si>
    <t>Initial Cap Mass</t>
  </si>
  <si>
    <t>Velocity</t>
  </si>
  <si>
    <t>kg</t>
  </si>
  <si>
    <t>m/s2</t>
  </si>
  <si>
    <t>m/s</t>
  </si>
  <si>
    <t>s</t>
  </si>
  <si>
    <t>Kinetic</t>
  </si>
  <si>
    <t>Heat</t>
  </si>
  <si>
    <t>Total</t>
  </si>
  <si>
    <t>Time</t>
  </si>
  <si>
    <t>Concrete</t>
  </si>
  <si>
    <t>Loss</t>
  </si>
  <si>
    <t>Initial</t>
  </si>
  <si>
    <t>PreImpact</t>
  </si>
  <si>
    <t>ToFall</t>
  </si>
  <si>
    <t>PostImpact</t>
  </si>
  <si>
    <t>Final</t>
  </si>
  <si>
    <t>Greening</t>
  </si>
  <si>
    <t>First Stage Collapse Time</t>
  </si>
  <si>
    <t>Support</t>
  </si>
  <si>
    <t>Gravity</t>
  </si>
  <si>
    <t>Tower Floors</t>
  </si>
  <si>
    <t>*</t>
  </si>
  <si>
    <t>First Stage First Impact Velocity</t>
  </si>
  <si>
    <t>Second Stage Collapse Time</t>
  </si>
  <si>
    <t>FULL COLLAPSE TIME</t>
  </si>
  <si>
    <t>Energy to Heat per Tower</t>
  </si>
  <si>
    <t>First Stage Final Impact Velocity</t>
  </si>
  <si>
    <t>Energy Usage</t>
  </si>
  <si>
    <t>Energy Remaining</t>
  </si>
  <si>
    <t>Initial Failure Floor</t>
  </si>
  <si>
    <t>Collapse End Floor</t>
  </si>
  <si>
    <t>total</t>
  </si>
  <si>
    <t>outside</t>
  </si>
  <si>
    <t>inside</t>
  </si>
  <si>
    <t>Concrete Mass</t>
  </si>
  <si>
    <t>Floor</t>
  </si>
  <si>
    <t>Unit Conversion</t>
  </si>
  <si>
    <t>Multiply by</t>
  </si>
  <si>
    <t>ft</t>
  </si>
  <si>
    <t>in</t>
  </si>
  <si>
    <t>m2</t>
  </si>
  <si>
    <t>m3</t>
  </si>
  <si>
    <t>kg/m3</t>
  </si>
  <si>
    <t>Concrete Crush Energy</t>
  </si>
  <si>
    <t>bend</t>
  </si>
  <si>
    <t>time</t>
  </si>
  <si>
    <t>d</t>
  </si>
  <si>
    <t>short ton</t>
  </si>
  <si>
    <t>Scale</t>
  </si>
  <si>
    <t>Particle</t>
  </si>
  <si>
    <t>micron</t>
  </si>
  <si>
    <t>Energy</t>
  </si>
  <si>
    <t>Outside Core</t>
  </si>
  <si>
    <t>Inside Core</t>
  </si>
  <si>
    <t>Out &gt;=0</t>
  </si>
  <si>
    <t>Height</t>
  </si>
  <si>
    <t>PE</t>
  </si>
  <si>
    <t>m2/kg</t>
  </si>
  <si>
    <t>Surface</t>
  </si>
  <si>
    <t>Area</t>
  </si>
  <si>
    <t>Crush</t>
  </si>
  <si>
    <t>J/kg</t>
  </si>
  <si>
    <t>Steel</t>
  </si>
  <si>
    <t>Outside</t>
  </si>
  <si>
    <t>Inside</t>
  </si>
  <si>
    <t>Live Load</t>
  </si>
  <si>
    <t>Tower</t>
  </si>
  <si>
    <t>Total Mass</t>
  </si>
  <si>
    <t>%/Fl</t>
  </si>
  <si>
    <t>Collapse Energy</t>
  </si>
  <si>
    <t>Plastic Deform Time ?</t>
  </si>
  <si>
    <t>J/Floor</t>
  </si>
  <si>
    <t>Both</t>
  </si>
  <si>
    <t>Convert From</t>
  </si>
  <si>
    <t>To</t>
  </si>
  <si>
    <t>Ref</t>
  </si>
  <si>
    <t>Cor</t>
  </si>
  <si>
    <t>Abs</t>
  </si>
  <si>
    <t>Used</t>
  </si>
  <si>
    <t>Tower Floors (Above Grade)</t>
  </si>
  <si>
    <t>Tower Floors (Below Grade)</t>
  </si>
  <si>
    <t>Floor Air Volume</t>
  </si>
  <si>
    <t>"Free-fall" Timing</t>
  </si>
  <si>
    <t>Concrete Density (Outside Core)</t>
  </si>
  <si>
    <t>Concrete Density (Inside Core)</t>
  </si>
  <si>
    <t>Tower Width</t>
  </si>
  <si>
    <t>Floor Concrete Area (Inside Core)</t>
  </si>
  <si>
    <t>Floor Concrete Area (Outside Core)</t>
  </si>
  <si>
    <t>fl</t>
  </si>
  <si>
    <t>Floor Area (Outside Core)</t>
  </si>
  <si>
    <t>Floor Area (Inside Core)</t>
  </si>
  <si>
    <t>Floor Height (Storey Average)</t>
  </si>
  <si>
    <t>Floor Height (Floor to Ceiling Average)</t>
  </si>
  <si>
    <t>Mass of Aircraft</t>
  </si>
  <si>
    <t>J/m2</t>
  </si>
  <si>
    <t>Air Density</t>
  </si>
  <si>
    <t>Energy to Collapse Support per Floor (avg)</t>
  </si>
  <si>
    <t>Collapse Energy per Floor (Perimeter)</t>
  </si>
  <si>
    <t>Collapse Energy per Floor (Core)</t>
  </si>
  <si>
    <t>Use Constant Support Energy ? (y/n)</t>
  </si>
  <si>
    <t>y</t>
  </si>
  <si>
    <t>Use Constant Crush Energy ? (y/n)</t>
  </si>
  <si>
    <t>Use Constant Floor Mass ? (y/n)</t>
  </si>
  <si>
    <t>Mass Loss</t>
  </si>
  <si>
    <t>Floor Area (Total)</t>
  </si>
  <si>
    <t>Tower Mass (Above Grade)</t>
  </si>
  <si>
    <t>Fail</t>
  </si>
  <si>
    <t>Energy to Crush Concrete per Floor (avg)</t>
  </si>
  <si>
    <t>n</t>
  </si>
  <si>
    <t>%</t>
  </si>
  <si>
    <t>Calculated</t>
  </si>
  <si>
    <t>Tower Height (Above Grade)</t>
  </si>
  <si>
    <t>Floor Height (Structural Average)</t>
  </si>
  <si>
    <t>Concrete Crush Scale (Minimum)</t>
  </si>
  <si>
    <t>Concrete Crush Scale (Maximum)</t>
  </si>
  <si>
    <t>Tower Core Width</t>
  </si>
  <si>
    <t>Tower Core Length</t>
  </si>
  <si>
    <t>Dead Load</t>
  </si>
  <si>
    <t>Tower Masses and Energy Sinks</t>
  </si>
  <si>
    <t>Floor Mass Steel (Average)</t>
  </si>
  <si>
    <t>Floor Mass Live Load (Inside Core Below Grade)</t>
  </si>
  <si>
    <t>Dimensions</t>
  </si>
  <si>
    <t>Parameter</t>
  </si>
  <si>
    <t>Floor Mass (Above Grade Average)</t>
  </si>
  <si>
    <t>Floor Mass Steel (Above Grade Average)</t>
  </si>
  <si>
    <t>Floor Mass Concrete (Above Grade Average)</t>
  </si>
  <si>
    <t>Concrete Crush Scale (avg)</t>
  </si>
  <si>
    <t>Perimeter</t>
  </si>
  <si>
    <t>Core</t>
  </si>
  <si>
    <t>SDL</t>
  </si>
  <si>
    <t>LL</t>
  </si>
  <si>
    <t>CDL</t>
  </si>
  <si>
    <t>Mass of Roof and Antenna</t>
  </si>
  <si>
    <t>NIST OUTSIDE CORE</t>
  </si>
  <si>
    <t>NIST INSIDE CORE</t>
  </si>
  <si>
    <t>pcf</t>
  </si>
  <si>
    <t>psf</t>
  </si>
  <si>
    <t>kg/m2</t>
  </si>
  <si>
    <t>Depth</t>
  </si>
  <si>
    <t>Volume</t>
  </si>
  <si>
    <t>Density</t>
  </si>
  <si>
    <t>na</t>
  </si>
  <si>
    <t>Concrete Energy (Fracture Outside Core)</t>
  </si>
  <si>
    <t>Concrete Energy (Fracture Inside Core)</t>
  </si>
  <si>
    <t>Concrete Energy (Crush Outside Core 60)</t>
  </si>
  <si>
    <t>Cap Mass Loss Percentage per Floor Impact</t>
  </si>
  <si>
    <t>Use Mass Loss ? (y/n)</t>
  </si>
  <si>
    <t>Floor Mass Loss Percentage per Floor Impact</t>
  </si>
  <si>
    <t>Energy Tower (Maximum)</t>
  </si>
  <si>
    <t>Second Stage Final Impact Velocity</t>
  </si>
  <si>
    <t>Height ft/in/m</t>
  </si>
  <si>
    <t>Floor Concrete Volume (Average Outside Core)</t>
  </si>
  <si>
    <t>Floor Concrete Volume (Average Inside Core)</t>
  </si>
  <si>
    <t>Floor Concrete Volume (Average)</t>
  </si>
  <si>
    <t>Tower Mass Concrete (Above Grade)</t>
  </si>
  <si>
    <t>Tower Mass Steel</t>
  </si>
  <si>
    <t>Energy to Break Support per Tower (Above Grade)</t>
  </si>
  <si>
    <t>Energy to crush concrete per Tower (Above Grade)</t>
  </si>
  <si>
    <t>Floor Type</t>
  </si>
  <si>
    <t>WTC 1</t>
  </si>
  <si>
    <t>WTC 2</t>
  </si>
  <si>
    <t>Factor</t>
  </si>
  <si>
    <t>kip</t>
  </si>
  <si>
    <t>ext</t>
  </si>
  <si>
    <t>Potential Energy (MAXIMUM Above Grade)</t>
  </si>
  <si>
    <t>Will be simplified to use a multiplier of 1 micron value as it is a linear scale.</t>
  </si>
  <si>
    <t>Init Mass</t>
  </si>
  <si>
    <t>Init Vel</t>
  </si>
  <si>
    <t>Time Fall</t>
  </si>
  <si>
    <t>Vel Pre</t>
  </si>
  <si>
    <t>Kin Pre</t>
  </si>
  <si>
    <t>Mass Post</t>
  </si>
  <si>
    <t>Vel Post</t>
  </si>
  <si>
    <t>Kin Post</t>
  </si>
  <si>
    <t>Kin Heat</t>
  </si>
  <si>
    <t>Kin Supp</t>
  </si>
  <si>
    <t>Kin Conc</t>
  </si>
  <si>
    <t>Kin Out</t>
  </si>
  <si>
    <t>Mass Fin</t>
  </si>
  <si>
    <t>Vel Fin</t>
  </si>
  <si>
    <t>Time Tot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</si>
</sst>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 numFmtId="166" formatCode="0.00000000"/>
    <numFmt numFmtId="167" formatCode="#,##0.0000"/>
    <numFmt numFmtId="168" formatCode="0.0000E+00"/>
    <numFmt numFmtId="169" formatCode="0.00000"/>
    <numFmt numFmtId="170" formatCode="0.0"/>
    <numFmt numFmtId="171" formatCode="&quot;Yes&quot;;&quot;Yes&quot;;&quot;No&quot;"/>
    <numFmt numFmtId="172" formatCode="&quot;True&quot;;&quot;True&quot;;&quot;False&quot;"/>
    <numFmt numFmtId="173" formatCode="&quot;On&quot;;&quot;On&quot;;&quot;Off&quot;"/>
    <numFmt numFmtId="174" formatCode="0.000000E+00"/>
    <numFmt numFmtId="175" formatCode="0.0E+00"/>
    <numFmt numFmtId="176" formatCode="0.000000"/>
    <numFmt numFmtId="177" formatCode="0.0000000000"/>
    <numFmt numFmtId="178" formatCode="0.00000000000000000000"/>
    <numFmt numFmtId="179" formatCode="#0.00\+00"/>
    <numFmt numFmtId="180" formatCode="#0.00e+00"/>
    <numFmt numFmtId="181" formatCode="00.00e+00"/>
  </numFmts>
  <fonts count="14">
    <font>
      <sz val="10"/>
      <name val="Arial"/>
      <family val="0"/>
    </font>
    <font>
      <u val="single"/>
      <sz val="10"/>
      <color indexed="12"/>
      <name val="Arial"/>
      <family val="0"/>
    </font>
    <font>
      <u val="single"/>
      <sz val="10"/>
      <color indexed="36"/>
      <name val="Arial"/>
      <family val="0"/>
    </font>
    <font>
      <b/>
      <sz val="8"/>
      <name val="Lucida Console"/>
      <family val="3"/>
    </font>
    <font>
      <sz val="8"/>
      <name val="Lucida Console"/>
      <family val="3"/>
    </font>
    <font>
      <b/>
      <sz val="12"/>
      <name val="Lucida Console"/>
      <family val="3"/>
    </font>
    <font>
      <sz val="12"/>
      <name val="Lucida Console"/>
      <family val="3"/>
    </font>
    <font>
      <b/>
      <sz val="10"/>
      <name val="Lucida Console"/>
      <family val="3"/>
    </font>
    <font>
      <b/>
      <sz val="12"/>
      <color indexed="9"/>
      <name val="Lucida Console"/>
      <family val="3"/>
    </font>
    <font>
      <sz val="12"/>
      <color indexed="9"/>
      <name val="Lucida Console"/>
      <family val="3"/>
    </font>
    <font>
      <sz val="8"/>
      <name val="Tahoma"/>
      <family val="0"/>
    </font>
    <font>
      <b/>
      <sz val="8"/>
      <name val="Tahoma"/>
      <family val="0"/>
    </font>
    <font>
      <b/>
      <sz val="8"/>
      <color indexed="9"/>
      <name val="Lucida Console"/>
      <family val="3"/>
    </font>
    <font>
      <b/>
      <sz val="8"/>
      <name val="Arial"/>
      <family val="2"/>
    </font>
  </fonts>
  <fills count="15">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53"/>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46"/>
        <bgColor indexed="64"/>
      </patternFill>
    </fill>
    <fill>
      <patternFill patternType="solid">
        <fgColor indexed="42"/>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4" fillId="0" borderId="0" xfId="0" applyFont="1" applyAlignment="1">
      <alignment/>
    </xf>
    <xf numFmtId="0" fontId="3" fillId="0" borderId="0" xfId="0" applyFont="1" applyAlignment="1">
      <alignment/>
    </xf>
    <xf numFmtId="165" fontId="4" fillId="0" borderId="0" xfId="0" applyNumberFormat="1" applyFont="1" applyAlignment="1">
      <alignment/>
    </xf>
    <xf numFmtId="11" fontId="4" fillId="0" borderId="0" xfId="0" applyNumberFormat="1" applyFont="1" applyAlignment="1">
      <alignment/>
    </xf>
    <xf numFmtId="0" fontId="4" fillId="0" borderId="0" xfId="0" applyFont="1" applyAlignment="1">
      <alignment horizontal="right"/>
    </xf>
    <xf numFmtId="0" fontId="4" fillId="2" borderId="0" xfId="0" applyFont="1" applyFill="1" applyAlignment="1">
      <alignment/>
    </xf>
    <xf numFmtId="165" fontId="4" fillId="2" borderId="0" xfId="0" applyNumberFormat="1" applyFont="1" applyFill="1" applyAlignment="1">
      <alignment/>
    </xf>
    <xf numFmtId="11" fontId="4" fillId="2" borderId="0" xfId="0" applyNumberFormat="1" applyFont="1" applyFill="1" applyAlignment="1">
      <alignment/>
    </xf>
    <xf numFmtId="2" fontId="4" fillId="0" borderId="0" xfId="0" applyNumberFormat="1" applyFont="1" applyAlignment="1">
      <alignment horizontal="right"/>
    </xf>
    <xf numFmtId="0" fontId="3" fillId="0" borderId="0" xfId="0" applyFont="1" applyAlignment="1">
      <alignment horizontal="right"/>
    </xf>
    <xf numFmtId="165" fontId="4" fillId="0" borderId="0" xfId="0" applyNumberFormat="1" applyFont="1" applyAlignment="1">
      <alignment horizontal="right"/>
    </xf>
    <xf numFmtId="11" fontId="4" fillId="0" borderId="0" xfId="0" applyNumberFormat="1" applyFont="1" applyAlignment="1">
      <alignment horizontal="right"/>
    </xf>
    <xf numFmtId="0" fontId="4" fillId="2" borderId="0" xfId="0" applyFont="1" applyFill="1" applyAlignment="1">
      <alignment horizontal="right"/>
    </xf>
    <xf numFmtId="165" fontId="4" fillId="2" borderId="0" xfId="0" applyNumberFormat="1" applyFont="1" applyFill="1" applyAlignment="1">
      <alignment horizontal="right"/>
    </xf>
    <xf numFmtId="11" fontId="4" fillId="2" borderId="0" xfId="0" applyNumberFormat="1" applyFont="1" applyFill="1" applyAlignment="1">
      <alignment horizontal="right"/>
    </xf>
    <xf numFmtId="0" fontId="4" fillId="0" borderId="0" xfId="0" applyFont="1" applyFill="1" applyAlignment="1">
      <alignment horizontal="right"/>
    </xf>
    <xf numFmtId="165" fontId="4" fillId="0" borderId="0" xfId="0" applyNumberFormat="1" applyFont="1" applyFill="1" applyAlignment="1">
      <alignment horizontal="right"/>
    </xf>
    <xf numFmtId="11" fontId="4" fillId="0" borderId="0" xfId="0" applyNumberFormat="1" applyFont="1" applyFill="1" applyAlignment="1">
      <alignment horizontal="right"/>
    </xf>
    <xf numFmtId="0" fontId="3" fillId="2" borderId="0" xfId="0" applyFont="1" applyFill="1" applyAlignment="1">
      <alignment horizontal="right"/>
    </xf>
    <xf numFmtId="0" fontId="4" fillId="3" borderId="0" xfId="0" applyFont="1" applyFill="1" applyAlignment="1">
      <alignment horizontal="right"/>
    </xf>
    <xf numFmtId="0" fontId="4" fillId="0" borderId="0" xfId="0" applyFont="1" applyAlignment="1">
      <alignment horizontal="left"/>
    </xf>
    <xf numFmtId="0" fontId="5" fillId="0" borderId="0" xfId="0" applyFont="1" applyAlignment="1">
      <alignment horizontal="left"/>
    </xf>
    <xf numFmtId="11" fontId="5" fillId="0" borderId="0" xfId="0" applyNumberFormat="1" applyFont="1" applyAlignment="1">
      <alignment horizontal="left"/>
    </xf>
    <xf numFmtId="0" fontId="6" fillId="0" borderId="0" xfId="0" applyFont="1" applyAlignment="1">
      <alignment horizontal="right"/>
    </xf>
    <xf numFmtId="11" fontId="4" fillId="4" borderId="0" xfId="0" applyNumberFormat="1" applyFont="1" applyFill="1" applyAlignment="1">
      <alignment horizontal="right"/>
    </xf>
    <xf numFmtId="0" fontId="3" fillId="0" borderId="0" xfId="0" applyFont="1" applyFill="1" applyAlignment="1" applyProtection="1">
      <alignment horizontal="center"/>
      <protection/>
    </xf>
    <xf numFmtId="0" fontId="3" fillId="0" borderId="0" xfId="0" applyFont="1" applyFill="1" applyAlignment="1">
      <alignment horizontal="left"/>
    </xf>
    <xf numFmtId="11" fontId="3" fillId="4" borderId="0" xfId="0" applyNumberFormat="1" applyFont="1" applyFill="1" applyAlignment="1">
      <alignment horizontal="right"/>
    </xf>
    <xf numFmtId="11" fontId="3" fillId="0" borderId="0" xfId="0" applyNumberFormat="1" applyFont="1" applyFill="1" applyAlignment="1">
      <alignment horizontal="right"/>
    </xf>
    <xf numFmtId="0" fontId="3" fillId="4" borderId="0" xfId="0" applyFont="1" applyFill="1" applyAlignment="1">
      <alignment horizontal="right"/>
    </xf>
    <xf numFmtId="0" fontId="3" fillId="0" borderId="0" xfId="0" applyFont="1" applyFill="1" applyAlignment="1">
      <alignment horizontal="right"/>
    </xf>
    <xf numFmtId="0" fontId="3" fillId="0" borderId="0" xfId="0" applyFont="1" applyFill="1" applyAlignment="1">
      <alignment horizontal="center"/>
    </xf>
    <xf numFmtId="165" fontId="4" fillId="4" borderId="0" xfId="0" applyNumberFormat="1" applyFont="1" applyFill="1" applyAlignment="1">
      <alignment/>
    </xf>
    <xf numFmtId="0" fontId="4" fillId="4" borderId="0" xfId="0" applyFont="1" applyFill="1" applyAlignment="1">
      <alignment horizontal="right"/>
    </xf>
    <xf numFmtId="165" fontId="4" fillId="4" borderId="0" xfId="0" applyNumberFormat="1" applyFont="1" applyFill="1" applyAlignment="1">
      <alignment horizontal="right"/>
    </xf>
    <xf numFmtId="165" fontId="3" fillId="4" borderId="0" xfId="0" applyNumberFormat="1" applyFont="1" applyFill="1" applyAlignment="1">
      <alignment horizontal="right"/>
    </xf>
    <xf numFmtId="174" fontId="4" fillId="0" borderId="0" xfId="0" applyNumberFormat="1" applyFont="1" applyAlignment="1">
      <alignment/>
    </xf>
    <xf numFmtId="0" fontId="3" fillId="4" borderId="0" xfId="0" applyFont="1" applyFill="1" applyAlignment="1">
      <alignment horizontal="left"/>
    </xf>
    <xf numFmtId="174" fontId="3" fillId="4" borderId="0" xfId="0" applyNumberFormat="1" applyFont="1" applyFill="1" applyAlignment="1">
      <alignment horizontal="right"/>
    </xf>
    <xf numFmtId="165" fontId="4" fillId="0" borderId="0" xfId="0" applyNumberFormat="1" applyFont="1" applyAlignment="1">
      <alignment horizontal="left"/>
    </xf>
    <xf numFmtId="0" fontId="6" fillId="0" borderId="0" xfId="0" applyFont="1" applyAlignment="1">
      <alignment horizontal="left"/>
    </xf>
    <xf numFmtId="11" fontId="4" fillId="3" borderId="0" xfId="0" applyNumberFormat="1" applyFont="1" applyFill="1" applyAlignment="1">
      <alignment horizontal="right"/>
    </xf>
    <xf numFmtId="165" fontId="4" fillId="0" borderId="0" xfId="0" applyNumberFormat="1" applyFont="1" applyFill="1" applyAlignment="1">
      <alignment/>
    </xf>
    <xf numFmtId="11" fontId="4" fillId="0" borderId="0" xfId="0" applyNumberFormat="1" applyFont="1" applyFill="1" applyAlignment="1">
      <alignment/>
    </xf>
    <xf numFmtId="0" fontId="4" fillId="0" borderId="0" xfId="0" applyFont="1" applyFill="1" applyAlignment="1">
      <alignment/>
    </xf>
    <xf numFmtId="0" fontId="4" fillId="0" borderId="0" xfId="0" applyFont="1" applyFill="1" applyAlignment="1">
      <alignment horizontal="left"/>
    </xf>
    <xf numFmtId="0" fontId="3" fillId="0" borderId="0" xfId="0" applyFont="1" applyFill="1" applyAlignment="1">
      <alignment/>
    </xf>
    <xf numFmtId="165" fontId="3" fillId="2" borderId="0" xfId="0" applyNumberFormat="1" applyFont="1" applyFill="1" applyAlignment="1">
      <alignment horizontal="right"/>
    </xf>
    <xf numFmtId="0" fontId="4" fillId="4" borderId="0" xfId="0" applyFont="1" applyFill="1" applyAlignment="1">
      <alignment/>
    </xf>
    <xf numFmtId="0" fontId="4" fillId="4" borderId="0" xfId="0" applyFont="1" applyFill="1" applyAlignment="1">
      <alignment horizontal="left"/>
    </xf>
    <xf numFmtId="2" fontId="4" fillId="2" borderId="0" xfId="0" applyNumberFormat="1" applyFont="1" applyFill="1" applyAlignment="1">
      <alignment horizontal="right"/>
    </xf>
    <xf numFmtId="1" fontId="4" fillId="4" borderId="0" xfId="0" applyNumberFormat="1" applyFont="1" applyFill="1" applyAlignment="1">
      <alignment horizontal="right"/>
    </xf>
    <xf numFmtId="2" fontId="4" fillId="4" borderId="0" xfId="0" applyNumberFormat="1" applyFont="1" applyFill="1" applyAlignment="1">
      <alignment/>
    </xf>
    <xf numFmtId="2" fontId="4" fillId="4" borderId="0" xfId="0" applyNumberFormat="1" applyFont="1" applyFill="1" applyAlignment="1">
      <alignment horizontal="right"/>
    </xf>
    <xf numFmtId="11" fontId="4" fillId="4" borderId="0" xfId="0" applyNumberFormat="1" applyFont="1" applyFill="1" applyAlignment="1">
      <alignment/>
    </xf>
    <xf numFmtId="1" fontId="4" fillId="4" borderId="0" xfId="0" applyNumberFormat="1" applyFont="1" applyFill="1" applyAlignment="1">
      <alignment/>
    </xf>
    <xf numFmtId="175" fontId="4" fillId="4" borderId="0" xfId="0" applyNumberFormat="1" applyFont="1" applyFill="1" applyAlignment="1">
      <alignment/>
    </xf>
    <xf numFmtId="0" fontId="4" fillId="4" borderId="0" xfId="0" applyFont="1" applyFill="1" applyAlignment="1">
      <alignment horizontal="left" wrapText="1"/>
    </xf>
    <xf numFmtId="165" fontId="3" fillId="2" borderId="0" xfId="0" applyNumberFormat="1" applyFont="1" applyFill="1" applyAlignment="1">
      <alignment/>
    </xf>
    <xf numFmtId="165" fontId="3" fillId="0" borderId="0" xfId="0" applyNumberFormat="1" applyFont="1" applyFill="1" applyAlignment="1">
      <alignment/>
    </xf>
    <xf numFmtId="11" fontId="3" fillId="2" borderId="0" xfId="0" applyNumberFormat="1" applyFont="1" applyFill="1" applyAlignment="1">
      <alignment horizontal="right"/>
    </xf>
    <xf numFmtId="1" fontId="3" fillId="2" borderId="0" xfId="0" applyNumberFormat="1" applyFont="1" applyFill="1" applyAlignment="1">
      <alignment/>
    </xf>
    <xf numFmtId="1" fontId="3" fillId="2" borderId="0" xfId="0" applyNumberFormat="1" applyFont="1" applyFill="1" applyAlignment="1">
      <alignment horizontal="right"/>
    </xf>
    <xf numFmtId="0" fontId="3" fillId="0" borderId="0" xfId="0" applyFont="1" applyAlignment="1">
      <alignment/>
    </xf>
    <xf numFmtId="0" fontId="8" fillId="5" borderId="0" xfId="0" applyFont="1" applyFill="1" applyAlignment="1">
      <alignment horizontal="left"/>
    </xf>
    <xf numFmtId="0" fontId="9" fillId="5" borderId="0" xfId="0" applyFont="1" applyFill="1" applyAlignment="1">
      <alignment/>
    </xf>
    <xf numFmtId="165" fontId="8" fillId="5" borderId="0" xfId="0" applyNumberFormat="1" applyFont="1" applyFill="1" applyAlignment="1">
      <alignment horizontal="right"/>
    </xf>
    <xf numFmtId="0" fontId="6" fillId="0" borderId="0" xfId="0" applyFont="1" applyFill="1" applyAlignment="1">
      <alignment/>
    </xf>
    <xf numFmtId="170" fontId="4" fillId="4" borderId="0" xfId="0" applyNumberFormat="1" applyFont="1" applyFill="1" applyAlignment="1">
      <alignment horizontal="right"/>
    </xf>
    <xf numFmtId="0" fontId="5" fillId="0" borderId="0" xfId="0" applyFont="1" applyFill="1" applyAlignment="1">
      <alignment horizontal="left"/>
    </xf>
    <xf numFmtId="0" fontId="7" fillId="2" borderId="0" xfId="0" applyFont="1" applyFill="1" applyAlignment="1">
      <alignment horizontal="left"/>
    </xf>
    <xf numFmtId="0" fontId="7" fillId="2" borderId="0" xfId="0" applyFont="1" applyFill="1" applyAlignment="1">
      <alignment horizontal="right"/>
    </xf>
    <xf numFmtId="0" fontId="7" fillId="0" borderId="0" xfId="0" applyFont="1" applyFill="1" applyAlignment="1">
      <alignment horizontal="right"/>
    </xf>
    <xf numFmtId="165" fontId="9" fillId="5" borderId="0" xfId="0" applyNumberFormat="1" applyFont="1" applyFill="1" applyAlignment="1">
      <alignment/>
    </xf>
    <xf numFmtId="0" fontId="4" fillId="4" borderId="0" xfId="0" applyNumberFormat="1" applyFont="1" applyFill="1" applyAlignment="1">
      <alignment horizontal="right"/>
    </xf>
    <xf numFmtId="1" fontId="3" fillId="2" borderId="0" xfId="0" applyNumberFormat="1" applyFont="1" applyFill="1" applyAlignment="1">
      <alignment/>
    </xf>
    <xf numFmtId="11" fontId="3" fillId="6" borderId="0" xfId="0" applyNumberFormat="1" applyFont="1" applyFill="1" applyAlignment="1">
      <alignment horizontal="right"/>
    </xf>
    <xf numFmtId="1" fontId="3" fillId="6" borderId="0" xfId="0" applyNumberFormat="1" applyFont="1" applyFill="1" applyAlignment="1">
      <alignment horizontal="right"/>
    </xf>
    <xf numFmtId="165" fontId="3" fillId="6" borderId="0" xfId="0" applyNumberFormat="1" applyFont="1" applyFill="1" applyAlignment="1">
      <alignment horizontal="right"/>
    </xf>
    <xf numFmtId="0" fontId="4" fillId="7" borderId="0" xfId="0" applyFont="1" applyFill="1" applyAlignment="1">
      <alignment horizontal="right"/>
    </xf>
    <xf numFmtId="11" fontId="4" fillId="7" borderId="0" xfId="0" applyNumberFormat="1" applyFont="1" applyFill="1" applyAlignment="1">
      <alignment horizontal="right"/>
    </xf>
    <xf numFmtId="2" fontId="4" fillId="7" borderId="0" xfId="0" applyNumberFormat="1" applyFont="1" applyFill="1" applyAlignment="1">
      <alignment horizontal="right"/>
    </xf>
    <xf numFmtId="2" fontId="4" fillId="3" borderId="0" xfId="0" applyNumberFormat="1" applyFont="1" applyFill="1" applyAlignment="1">
      <alignment horizontal="right"/>
    </xf>
    <xf numFmtId="165" fontId="4" fillId="7" borderId="0" xfId="0" applyNumberFormat="1" applyFont="1" applyFill="1" applyAlignment="1">
      <alignment/>
    </xf>
    <xf numFmtId="0" fontId="3" fillId="8" borderId="0" xfId="0" applyFont="1" applyFill="1" applyAlignment="1">
      <alignment horizontal="right"/>
    </xf>
    <xf numFmtId="1" fontId="3" fillId="8" borderId="0" xfId="0" applyNumberFormat="1" applyFont="1" applyFill="1" applyAlignment="1">
      <alignment horizontal="right"/>
    </xf>
    <xf numFmtId="1" fontId="3" fillId="8" borderId="0" xfId="0" applyNumberFormat="1" applyFont="1" applyFill="1" applyAlignment="1">
      <alignment/>
    </xf>
    <xf numFmtId="11" fontId="3" fillId="8" borderId="0" xfId="0" applyNumberFormat="1" applyFont="1" applyFill="1" applyAlignment="1">
      <alignment/>
    </xf>
    <xf numFmtId="11" fontId="3" fillId="8" borderId="0" xfId="0" applyNumberFormat="1" applyFont="1" applyFill="1" applyAlignment="1">
      <alignment horizontal="right"/>
    </xf>
    <xf numFmtId="2" fontId="3" fillId="8" borderId="0" xfId="0" applyNumberFormat="1" applyFont="1" applyFill="1" applyAlignment="1">
      <alignment horizontal="right"/>
    </xf>
    <xf numFmtId="0" fontId="3" fillId="6" borderId="0" xfId="0" applyFont="1" applyFill="1" applyAlignment="1">
      <alignment horizontal="right"/>
    </xf>
    <xf numFmtId="0" fontId="3" fillId="2" borderId="0" xfId="0" applyFont="1" applyFill="1" applyAlignment="1">
      <alignment/>
    </xf>
    <xf numFmtId="0" fontId="3" fillId="2" borderId="0" xfId="0" applyNumberFormat="1" applyFont="1" applyFill="1" applyAlignment="1">
      <alignment/>
    </xf>
    <xf numFmtId="0" fontId="3" fillId="2" borderId="0" xfId="0" applyNumberFormat="1" applyFont="1" applyFill="1" applyAlignment="1">
      <alignment horizontal="right"/>
    </xf>
    <xf numFmtId="174" fontId="4" fillId="0" borderId="0" xfId="0" applyNumberFormat="1" applyFont="1" applyFill="1" applyAlignment="1">
      <alignment/>
    </xf>
    <xf numFmtId="176" fontId="5" fillId="0" borderId="0" xfId="0" applyNumberFormat="1" applyFont="1" applyAlignment="1">
      <alignment horizontal="left"/>
    </xf>
    <xf numFmtId="176" fontId="6" fillId="0" borderId="0" xfId="0" applyNumberFormat="1" applyFont="1" applyAlignment="1">
      <alignment horizontal="right"/>
    </xf>
    <xf numFmtId="176" fontId="4" fillId="0" borderId="0" xfId="0" applyNumberFormat="1" applyFont="1" applyAlignment="1">
      <alignment horizontal="right"/>
    </xf>
    <xf numFmtId="0" fontId="4" fillId="4" borderId="0" xfId="0" applyNumberFormat="1" applyFont="1" applyFill="1" applyAlignment="1">
      <alignment/>
    </xf>
    <xf numFmtId="176" fontId="4" fillId="7" borderId="0" xfId="0" applyNumberFormat="1" applyFont="1" applyFill="1" applyAlignment="1">
      <alignment horizontal="right"/>
    </xf>
    <xf numFmtId="176" fontId="4" fillId="3" borderId="0" xfId="0" applyNumberFormat="1" applyFont="1" applyFill="1" applyAlignment="1">
      <alignment horizontal="right"/>
    </xf>
    <xf numFmtId="176" fontId="4" fillId="2" borderId="0" xfId="0" applyNumberFormat="1" applyFont="1" applyFill="1" applyAlignment="1">
      <alignment horizontal="right"/>
    </xf>
    <xf numFmtId="11" fontId="3" fillId="3" borderId="0" xfId="0" applyNumberFormat="1" applyFont="1" applyFill="1" applyAlignment="1">
      <alignment horizontal="right"/>
    </xf>
    <xf numFmtId="0" fontId="6" fillId="0" borderId="0" xfId="0" applyFont="1" applyFill="1" applyAlignment="1">
      <alignment horizontal="right"/>
    </xf>
    <xf numFmtId="1" fontId="4" fillId="0" borderId="0" xfId="0" applyNumberFormat="1" applyFont="1" applyAlignment="1">
      <alignment horizontal="right"/>
    </xf>
    <xf numFmtId="2" fontId="3" fillId="0" borderId="0" xfId="0" applyNumberFormat="1" applyFont="1" applyFill="1" applyAlignment="1">
      <alignment horizontal="right"/>
    </xf>
    <xf numFmtId="165" fontId="5" fillId="0" borderId="0" xfId="0" applyNumberFormat="1" applyFont="1" applyFill="1" applyAlignment="1">
      <alignment horizontal="left"/>
    </xf>
    <xf numFmtId="165" fontId="6" fillId="0" borderId="0" xfId="0" applyNumberFormat="1" applyFont="1" applyFill="1" applyAlignment="1">
      <alignment horizontal="right"/>
    </xf>
    <xf numFmtId="0" fontId="4" fillId="0" borderId="0" xfId="0" applyNumberFormat="1" applyFont="1" applyFill="1" applyAlignment="1">
      <alignment/>
    </xf>
    <xf numFmtId="0" fontId="3" fillId="0" borderId="0" xfId="0" applyNumberFormat="1" applyFont="1" applyFill="1" applyAlignment="1">
      <alignment/>
    </xf>
    <xf numFmtId="176" fontId="4" fillId="0" borderId="0" xfId="0" applyNumberFormat="1" applyFont="1" applyFill="1" applyAlignment="1">
      <alignment/>
    </xf>
    <xf numFmtId="11" fontId="3" fillId="0" borderId="0" xfId="0" applyNumberFormat="1" applyFont="1" applyFill="1" applyAlignment="1">
      <alignment horizontal="center"/>
    </xf>
    <xf numFmtId="11" fontId="4" fillId="9" borderId="0" xfId="0" applyNumberFormat="1" applyFont="1" applyFill="1" applyAlignment="1">
      <alignment horizontal="right"/>
    </xf>
    <xf numFmtId="11" fontId="4" fillId="10" borderId="0" xfId="0" applyNumberFormat="1" applyFont="1" applyFill="1" applyAlignment="1">
      <alignment horizontal="right"/>
    </xf>
    <xf numFmtId="1" fontId="4" fillId="2" borderId="0" xfId="0" applyNumberFormat="1" applyFont="1" applyFill="1" applyAlignment="1">
      <alignment horizontal="right"/>
    </xf>
    <xf numFmtId="11" fontId="4" fillId="11" borderId="0" xfId="0" applyNumberFormat="1" applyFont="1" applyFill="1" applyAlignment="1">
      <alignment horizontal="right"/>
    </xf>
    <xf numFmtId="11" fontId="4" fillId="12" borderId="0" xfId="0" applyNumberFormat="1" applyFont="1" applyFill="1" applyAlignment="1">
      <alignment horizontal="right"/>
    </xf>
    <xf numFmtId="11" fontId="4" fillId="13" borderId="0" xfId="0" applyNumberFormat="1" applyFont="1" applyFill="1" applyAlignment="1">
      <alignment horizontal="right"/>
    </xf>
    <xf numFmtId="165" fontId="12" fillId="6" borderId="0" xfId="0" applyNumberFormat="1" applyFont="1" applyFill="1" applyAlignment="1">
      <alignment horizontal="right"/>
    </xf>
    <xf numFmtId="1" fontId="12" fillId="6" borderId="0" xfId="0" applyNumberFormat="1" applyFont="1" applyFill="1" applyAlignment="1">
      <alignment horizontal="right"/>
    </xf>
    <xf numFmtId="0" fontId="12" fillId="6" borderId="0" xfId="0" applyFont="1" applyFill="1" applyAlignment="1">
      <alignment/>
    </xf>
    <xf numFmtId="1" fontId="12" fillId="6" borderId="0" xfId="0" applyNumberFormat="1" applyFont="1" applyFill="1" applyAlignment="1">
      <alignment/>
    </xf>
    <xf numFmtId="0" fontId="3" fillId="6" borderId="0" xfId="0" applyFont="1" applyFill="1" applyAlignment="1">
      <alignment horizontal="left"/>
    </xf>
    <xf numFmtId="11" fontId="12" fillId="6" borderId="0" xfId="0" applyNumberFormat="1" applyFont="1" applyFill="1" applyAlignment="1">
      <alignment/>
    </xf>
    <xf numFmtId="165" fontId="4" fillId="12" borderId="0" xfId="0" applyNumberFormat="1" applyFont="1" applyFill="1" applyAlignment="1">
      <alignment/>
    </xf>
    <xf numFmtId="165" fontId="4" fillId="12" borderId="0" xfId="0" applyNumberFormat="1" applyFont="1" applyFill="1" applyAlignment="1">
      <alignment horizontal="right"/>
    </xf>
    <xf numFmtId="165" fontId="4" fillId="11" borderId="0" xfId="0" applyNumberFormat="1" applyFont="1" applyFill="1" applyAlignment="1">
      <alignment horizontal="right"/>
    </xf>
    <xf numFmtId="165" fontId="4" fillId="11" borderId="0" xfId="0" applyNumberFormat="1" applyFont="1" applyFill="1" applyAlignment="1">
      <alignment/>
    </xf>
    <xf numFmtId="165" fontId="5" fillId="0" borderId="0" xfId="0" applyNumberFormat="1" applyFont="1" applyAlignment="1">
      <alignment horizontal="left"/>
    </xf>
    <xf numFmtId="165" fontId="4" fillId="0" borderId="0" xfId="0" applyNumberFormat="1" applyFont="1" applyFill="1" applyAlignment="1">
      <alignment horizontal="left"/>
    </xf>
    <xf numFmtId="0" fontId="4" fillId="8" borderId="0" xfId="0" applyFont="1" applyFill="1" applyAlignment="1">
      <alignment horizontal="right"/>
    </xf>
    <xf numFmtId="165" fontId="8" fillId="3" borderId="0" xfId="0" applyNumberFormat="1" applyFont="1" applyFill="1" applyAlignment="1">
      <alignment horizontal="right"/>
    </xf>
    <xf numFmtId="2" fontId="3" fillId="2" borderId="0" xfId="0" applyNumberFormat="1" applyFont="1" applyFill="1" applyAlignment="1">
      <alignment/>
    </xf>
    <xf numFmtId="2" fontId="5" fillId="0" borderId="0" xfId="0" applyNumberFormat="1" applyFont="1" applyAlignment="1">
      <alignment horizontal="left"/>
    </xf>
    <xf numFmtId="2" fontId="6" fillId="0" borderId="0" xfId="0" applyNumberFormat="1" applyFont="1" applyAlignment="1">
      <alignment horizontal="right"/>
    </xf>
    <xf numFmtId="2" fontId="3" fillId="2" borderId="0" xfId="0" applyNumberFormat="1" applyFont="1" applyFill="1" applyAlignment="1" applyProtection="1">
      <alignment horizontal="center"/>
      <protection/>
    </xf>
    <xf numFmtId="11" fontId="4" fillId="0" borderId="0" xfId="0" applyNumberFormat="1" applyFont="1" applyFill="1" applyAlignment="1">
      <alignment horizontal="left"/>
    </xf>
    <xf numFmtId="181" fontId="4" fillId="0" borderId="0" xfId="0" applyNumberFormat="1" applyFont="1" applyAlignment="1">
      <alignment horizontal="right"/>
    </xf>
    <xf numFmtId="181" fontId="4" fillId="0" borderId="0" xfId="0" applyNumberFormat="1" applyFont="1" applyFill="1" applyAlignment="1">
      <alignment horizontal="right"/>
    </xf>
    <xf numFmtId="181" fontId="4" fillId="0" borderId="0" xfId="0" applyNumberFormat="1" applyFont="1" applyAlignment="1">
      <alignment/>
    </xf>
    <xf numFmtId="181" fontId="4" fillId="2" borderId="0" xfId="0" applyNumberFormat="1" applyFont="1" applyFill="1" applyAlignment="1">
      <alignment horizontal="right"/>
    </xf>
    <xf numFmtId="181" fontId="4" fillId="8" borderId="0" xfId="0" applyNumberFormat="1" applyFont="1" applyFill="1" applyAlignment="1">
      <alignment horizontal="right"/>
    </xf>
    <xf numFmtId="181" fontId="4" fillId="7" borderId="0" xfId="0" applyNumberFormat="1" applyFont="1" applyFill="1" applyAlignment="1">
      <alignment horizontal="right"/>
    </xf>
    <xf numFmtId="181" fontId="4" fillId="4" borderId="0" xfId="0" applyNumberFormat="1" applyFont="1" applyFill="1" applyAlignment="1">
      <alignment horizontal="right"/>
    </xf>
    <xf numFmtId="181" fontId="4" fillId="14" borderId="0" xfId="0" applyNumberFormat="1" applyFont="1" applyFill="1" applyAlignment="1">
      <alignment horizontal="right"/>
    </xf>
    <xf numFmtId="181" fontId="4" fillId="0" borderId="0" xfId="0" applyNumberFormat="1" applyFont="1" applyFill="1" applyAlignment="1">
      <alignment/>
    </xf>
    <xf numFmtId="181" fontId="4" fillId="2" borderId="0" xfId="0" applyNumberFormat="1" applyFont="1" applyFill="1" applyAlignment="1">
      <alignment horizontal="center"/>
    </xf>
    <xf numFmtId="0" fontId="12" fillId="3" borderId="0" xfId="0" applyFont="1" applyFill="1" applyAlignment="1">
      <alignment horizontal="center"/>
    </xf>
    <xf numFmtId="0" fontId="3" fillId="2" borderId="0" xfId="0" applyFont="1" applyFill="1" applyAlignment="1">
      <alignment horizontal="center"/>
    </xf>
    <xf numFmtId="0" fontId="3" fillId="2" borderId="0" xfId="0" applyFont="1" applyFill="1" applyAlignment="1" applyProtection="1">
      <alignment horizontal="center"/>
      <protection/>
    </xf>
    <xf numFmtId="11" fontId="3" fillId="2" borderId="0" xfId="0" applyNumberFormat="1" applyFont="1" applyFill="1" applyAlignment="1">
      <alignment horizontal="center"/>
    </xf>
    <xf numFmtId="0" fontId="5" fillId="2" borderId="0" xfId="0" applyFont="1" applyFill="1" applyAlignment="1">
      <alignment horizontal="center"/>
    </xf>
    <xf numFmtId="11" fontId="5" fillId="2" borderId="0" xfId="0" applyNumberFormat="1" applyFont="1" applyFill="1" applyAlignment="1">
      <alignment horizontal="center"/>
    </xf>
    <xf numFmtId="0" fontId="3" fillId="4" borderId="0" xfId="0" applyFont="1"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0000"/>
        </patternFill>
      </fill>
      <border/>
    </dxf>
    <dxf>
      <fill>
        <patternFill>
          <bgColor rgb="FF00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F141"/>
  <sheetViews>
    <sheetView tabSelected="1" workbookViewId="0" topLeftCell="A1">
      <selection activeCell="A1" sqref="A1"/>
    </sheetView>
  </sheetViews>
  <sheetFormatPr defaultColWidth="9.140625" defaultRowHeight="12.75"/>
  <cols>
    <col min="1" max="1" width="50.421875" style="46" bestFit="1" customWidth="1"/>
    <col min="2" max="2" width="14.28125" style="17" customWidth="1"/>
    <col min="3" max="3" width="14.28125" style="45" customWidth="1"/>
    <col min="4" max="4" width="28.57421875" style="47" customWidth="1"/>
    <col min="5" max="5" width="7.00390625" style="45" bestFit="1" customWidth="1"/>
    <col min="6" max="6" width="8.421875" style="45" customWidth="1"/>
    <col min="7" max="16384" width="9.140625" style="45" customWidth="1"/>
  </cols>
  <sheetData>
    <row r="1" s="70" customFormat="1" ht="15">
      <c r="A1" s="70" t="s">
        <v>126</v>
      </c>
    </row>
    <row r="2" s="27" customFormat="1" ht="10.5"/>
    <row r="3" s="27" customFormat="1" ht="10.5"/>
    <row r="4" spans="1:4" s="73" customFormat="1" ht="12.75">
      <c r="A4" s="71" t="s">
        <v>127</v>
      </c>
      <c r="B4" s="72" t="s">
        <v>21</v>
      </c>
      <c r="C4" s="72" t="s">
        <v>115</v>
      </c>
      <c r="D4" s="72" t="s">
        <v>83</v>
      </c>
    </row>
    <row r="5" s="31" customFormat="1" ht="10.5">
      <c r="A5" s="27"/>
    </row>
    <row r="6" spans="1:5" ht="10.5">
      <c r="A6" s="50" t="s">
        <v>24</v>
      </c>
      <c r="B6" s="54">
        <v>9.81</v>
      </c>
      <c r="C6" s="49">
        <v>9.80665</v>
      </c>
      <c r="D6" s="133">
        <f>C6</f>
        <v>9.80665</v>
      </c>
      <c r="E6" s="45" t="s">
        <v>7</v>
      </c>
    </row>
    <row r="7" ht="10.5"/>
    <row r="8" spans="1:5" ht="10.5">
      <c r="A8" s="50" t="s">
        <v>90</v>
      </c>
      <c r="B8" s="69">
        <v>63.7</v>
      </c>
      <c r="C8" s="33">
        <f>207*C101</f>
        <v>63.0936</v>
      </c>
      <c r="D8" s="59">
        <f>C8</f>
        <v>63.0936</v>
      </c>
      <c r="E8" s="45" t="s">
        <v>1</v>
      </c>
    </row>
    <row r="9" spans="1:5" ht="10.5">
      <c r="A9" s="50" t="s">
        <v>116</v>
      </c>
      <c r="B9" s="49">
        <v>416</v>
      </c>
      <c r="C9" s="35">
        <f>1368*C101</f>
        <v>416.9664</v>
      </c>
      <c r="D9" s="48">
        <f>C9</f>
        <v>416.9664</v>
      </c>
      <c r="E9" s="46" t="s">
        <v>1</v>
      </c>
    </row>
    <row r="10" ht="10.5"/>
    <row r="11" spans="1:5" ht="10.5">
      <c r="A11" s="50" t="s">
        <v>120</v>
      </c>
      <c r="B11" s="69">
        <v>27.1</v>
      </c>
      <c r="C11" s="33">
        <f>87*C101</f>
        <v>26.5176</v>
      </c>
      <c r="D11" s="93">
        <f>C11</f>
        <v>26.5176</v>
      </c>
      <c r="E11" s="45" t="s">
        <v>1</v>
      </c>
    </row>
    <row r="12" spans="1:5" ht="10.5">
      <c r="A12" s="50" t="s">
        <v>121</v>
      </c>
      <c r="B12" s="69">
        <v>42.4</v>
      </c>
      <c r="C12" s="33">
        <f>135*C101</f>
        <v>41.148</v>
      </c>
      <c r="D12" s="59">
        <f>C12</f>
        <v>41.148</v>
      </c>
      <c r="E12" s="45" t="s">
        <v>1</v>
      </c>
    </row>
    <row r="13" ht="10.5"/>
    <row r="14" spans="1:5" ht="10.5">
      <c r="A14" s="50" t="s">
        <v>25</v>
      </c>
      <c r="B14" s="49">
        <v>110</v>
      </c>
      <c r="C14" s="49">
        <v>116</v>
      </c>
      <c r="D14" s="94">
        <f>C14</f>
        <v>116</v>
      </c>
      <c r="E14" s="21" t="s">
        <v>93</v>
      </c>
    </row>
    <row r="15" spans="1:5" ht="10.5">
      <c r="A15" s="50" t="s">
        <v>84</v>
      </c>
      <c r="B15" s="49"/>
      <c r="C15" s="49">
        <v>110</v>
      </c>
      <c r="D15" s="94">
        <f>C15</f>
        <v>110</v>
      </c>
      <c r="E15" s="21" t="s">
        <v>93</v>
      </c>
    </row>
    <row r="16" spans="1:5" ht="10.5">
      <c r="A16" s="50" t="s">
        <v>85</v>
      </c>
      <c r="B16" s="49"/>
      <c r="C16" s="49">
        <v>6</v>
      </c>
      <c r="D16" s="94">
        <f>C16</f>
        <v>6</v>
      </c>
      <c r="E16" s="21" t="s">
        <v>93</v>
      </c>
    </row>
    <row r="17" ht="10.5"/>
    <row r="18" spans="1:5" ht="10.5">
      <c r="A18" s="50" t="s">
        <v>96</v>
      </c>
      <c r="B18" s="49"/>
      <c r="C18" s="33">
        <f>D9/D15</f>
        <v>3.7906036363636364</v>
      </c>
      <c r="D18" s="48">
        <f>C18</f>
        <v>3.7906036363636364</v>
      </c>
      <c r="E18" s="21" t="s">
        <v>1</v>
      </c>
    </row>
    <row r="19" spans="1:5" ht="10.5">
      <c r="A19" s="50" t="s">
        <v>117</v>
      </c>
      <c r="B19" s="35"/>
      <c r="C19" s="49">
        <v>0.7492</v>
      </c>
      <c r="D19" s="92">
        <f>C19</f>
        <v>0.7492</v>
      </c>
      <c r="E19" s="45" t="s">
        <v>1</v>
      </c>
    </row>
    <row r="20" spans="1:5" ht="10.5">
      <c r="A20" s="50" t="s">
        <v>97</v>
      </c>
      <c r="B20" s="49">
        <v>3.7</v>
      </c>
      <c r="C20" s="33">
        <f>D18-D19</f>
        <v>3.0414036363636363</v>
      </c>
      <c r="D20" s="48">
        <f>B20</f>
        <v>3.7</v>
      </c>
      <c r="E20" s="21" t="s">
        <v>1</v>
      </c>
    </row>
    <row r="21" ht="10.5"/>
    <row r="22" spans="1:5" ht="10.5">
      <c r="A22" s="50" t="s">
        <v>95</v>
      </c>
      <c r="B22" s="52">
        <v>1149</v>
      </c>
      <c r="C22" s="35">
        <f>D11*D12</f>
        <v>1091.1462048</v>
      </c>
      <c r="D22" s="59">
        <f>C22</f>
        <v>1091.1462048</v>
      </c>
      <c r="E22" s="45" t="s">
        <v>45</v>
      </c>
    </row>
    <row r="23" spans="1:5" ht="10.5">
      <c r="A23" s="50" t="s">
        <v>94</v>
      </c>
      <c r="B23" s="52">
        <v>2909</v>
      </c>
      <c r="C23" s="35">
        <f>D24-D22</f>
        <v>2889.65615616</v>
      </c>
      <c r="D23" s="59">
        <f>C23</f>
        <v>2889.65615616</v>
      </c>
      <c r="E23" s="45" t="s">
        <v>45</v>
      </c>
    </row>
    <row r="24" spans="1:5" ht="10.5">
      <c r="A24" s="50" t="s">
        <v>109</v>
      </c>
      <c r="B24" s="52">
        <v>4058</v>
      </c>
      <c r="C24" s="35">
        <f>D8*D8</f>
        <v>3980.8023609600004</v>
      </c>
      <c r="D24" s="59">
        <f>C24</f>
        <v>3980.8023609600004</v>
      </c>
      <c r="E24" s="45" t="s">
        <v>45</v>
      </c>
    </row>
    <row r="25" ht="10.5"/>
    <row r="26" spans="1:5" ht="10.5">
      <c r="A26" s="50" t="s">
        <v>92</v>
      </c>
      <c r="B26" s="52">
        <v>2909</v>
      </c>
      <c r="C26" s="35">
        <f>(((36*2*C101)+D11)*((60*2*C101)+D12))-D22</f>
        <v>2675.6075520000004</v>
      </c>
      <c r="D26" s="59">
        <f>C26</f>
        <v>2675.6075520000004</v>
      </c>
      <c r="E26" s="45" t="s">
        <v>45</v>
      </c>
    </row>
    <row r="27" spans="1:5" ht="10.5">
      <c r="A27" s="50" t="s">
        <v>91</v>
      </c>
      <c r="B27" s="52"/>
      <c r="C27" s="35">
        <f>D22*0.6</f>
        <v>654.68772288</v>
      </c>
      <c r="D27" s="59">
        <f>C27</f>
        <v>654.68772288</v>
      </c>
      <c r="E27" s="45" t="s">
        <v>45</v>
      </c>
    </row>
    <row r="28" ht="10.5"/>
    <row r="29" spans="1:5" ht="10.5">
      <c r="A29" s="50" t="s">
        <v>156</v>
      </c>
      <c r="B29" s="49"/>
      <c r="C29" s="33">
        <f>AVERAGE('Concrete Mass'!F8:F123)</f>
        <v>295.6278784204805</v>
      </c>
      <c r="D29" s="48">
        <f>C29</f>
        <v>295.6278784204805</v>
      </c>
      <c r="E29" s="21" t="s">
        <v>46</v>
      </c>
    </row>
    <row r="30" spans="1:5" ht="10.5">
      <c r="A30" s="50" t="s">
        <v>157</v>
      </c>
      <c r="B30" s="49"/>
      <c r="C30" s="33">
        <f>AVERAGE('Concrete Mass'!M8:M123)</f>
        <v>88.73614820476797</v>
      </c>
      <c r="D30" s="48">
        <f>C30</f>
        <v>88.73614820476797</v>
      </c>
      <c r="E30" s="21" t="s">
        <v>46</v>
      </c>
    </row>
    <row r="31" spans="1:5" ht="10.5">
      <c r="A31" s="50" t="s">
        <v>158</v>
      </c>
      <c r="B31" s="49">
        <v>290.9</v>
      </c>
      <c r="C31" s="33">
        <f>D29+D30</f>
        <v>384.36402662524847</v>
      </c>
      <c r="D31" s="48">
        <f>C31</f>
        <v>384.36402662524847</v>
      </c>
      <c r="E31" s="21" t="s">
        <v>46</v>
      </c>
    </row>
    <row r="32" spans="1:5" ht="10.5">
      <c r="A32" s="21"/>
      <c r="B32" s="1"/>
      <c r="D32" s="10"/>
      <c r="E32" s="21"/>
    </row>
    <row r="33" spans="1:5" ht="10.5">
      <c r="A33" s="50" t="s">
        <v>88</v>
      </c>
      <c r="B33" s="49">
        <v>1500</v>
      </c>
      <c r="C33" s="35">
        <f>100*C104</f>
        <v>1601.8462667666804</v>
      </c>
      <c r="D33" s="59">
        <f>C33</f>
        <v>1601.8462667666804</v>
      </c>
      <c r="E33" s="21" t="s">
        <v>47</v>
      </c>
    </row>
    <row r="34" spans="1:5" ht="10.5">
      <c r="A34" s="50" t="s">
        <v>89</v>
      </c>
      <c r="B34" s="49"/>
      <c r="C34" s="33">
        <f>150*C104</f>
        <v>2402.7694001500204</v>
      </c>
      <c r="D34" s="59">
        <f>C34</f>
        <v>2402.7694001500204</v>
      </c>
      <c r="E34" s="21" t="s">
        <v>47</v>
      </c>
    </row>
    <row r="35" spans="2:5" ht="10.5">
      <c r="B35" s="45"/>
      <c r="D35" s="60"/>
      <c r="E35" s="21"/>
    </row>
    <row r="36" spans="1:5" ht="10.5">
      <c r="A36" s="50" t="s">
        <v>147</v>
      </c>
      <c r="B36" s="75">
        <v>100</v>
      </c>
      <c r="C36" s="99"/>
      <c r="D36" s="93">
        <f>B36</f>
        <v>100</v>
      </c>
      <c r="E36" s="1" t="s">
        <v>99</v>
      </c>
    </row>
    <row r="37" spans="1:5" ht="10.5">
      <c r="A37" s="50" t="s">
        <v>148</v>
      </c>
      <c r="B37" s="75"/>
      <c r="C37" s="84">
        <f>D34/D33*D36</f>
        <v>149.99999999999997</v>
      </c>
      <c r="D37" s="59">
        <f>C37</f>
        <v>149.99999999999997</v>
      </c>
      <c r="E37" s="1" t="s">
        <v>99</v>
      </c>
    </row>
    <row r="38" spans="1:5" ht="10.5">
      <c r="A38" s="50" t="s">
        <v>149</v>
      </c>
      <c r="B38" s="52">
        <v>6700</v>
      </c>
      <c r="C38" s="56">
        <f>'Crush Energy'!G69</f>
        <v>6242.79633287466</v>
      </c>
      <c r="D38" s="62">
        <f>C38</f>
        <v>6242.79633287466</v>
      </c>
      <c r="E38" s="45" t="s">
        <v>66</v>
      </c>
    </row>
    <row r="39" ht="10.5"/>
    <row r="40" spans="1:6" ht="10.5">
      <c r="A40" s="50" t="s">
        <v>124</v>
      </c>
      <c r="B40" s="35"/>
      <c r="C40" s="53">
        <f>99451/D14*C103</f>
        <v>777762.2896525862</v>
      </c>
      <c r="D40" s="76">
        <f>C40</f>
        <v>777762.2896525862</v>
      </c>
      <c r="E40" s="40" t="s">
        <v>6</v>
      </c>
      <c r="F40" s="21"/>
    </row>
    <row r="41" spans="1:6" ht="10.5">
      <c r="A41" s="50" t="s">
        <v>125</v>
      </c>
      <c r="B41" s="35"/>
      <c r="C41" s="53">
        <f>15000/D16*C103</f>
        <v>2267961.75</v>
      </c>
      <c r="D41" s="76">
        <f>C41</f>
        <v>2267961.75</v>
      </c>
      <c r="E41" s="40" t="s">
        <v>6</v>
      </c>
      <c r="F41" s="21"/>
    </row>
    <row r="42" ht="10.5"/>
    <row r="43" spans="1:6" ht="10.5">
      <c r="A43" s="50" t="s">
        <v>130</v>
      </c>
      <c r="B43" s="35"/>
      <c r="C43" s="53">
        <f>SUM('Tower Mass'!M8:N117)/D15</f>
        <v>677394.6608562456</v>
      </c>
      <c r="D43" s="76">
        <f>C43</f>
        <v>677394.6608562456</v>
      </c>
      <c r="E43" s="40" t="s">
        <v>6</v>
      </c>
      <c r="F43" s="21"/>
    </row>
    <row r="44" spans="1:5" ht="10.5">
      <c r="A44" s="50" t="s">
        <v>159</v>
      </c>
      <c r="B44" s="49">
        <v>48000000</v>
      </c>
      <c r="C44" s="52">
        <f>SUM('Tower Mass'!M8:N117)</f>
        <v>74513412.69418702</v>
      </c>
      <c r="D44" s="63">
        <f>C44</f>
        <v>74513412.69418702</v>
      </c>
      <c r="E44" s="21" t="s">
        <v>6</v>
      </c>
    </row>
    <row r="45" ht="10.5"/>
    <row r="46" spans="1:6" ht="10.5">
      <c r="A46" s="50" t="s">
        <v>129</v>
      </c>
      <c r="B46" s="35"/>
      <c r="C46" s="53">
        <f>AVERAGE('Tower Mass'!J8:J117)</f>
        <v>741957.3760624415</v>
      </c>
      <c r="D46" s="76">
        <f>C46</f>
        <v>741957.3760624415</v>
      </c>
      <c r="E46" s="40" t="s">
        <v>6</v>
      </c>
      <c r="F46" s="21"/>
    </row>
    <row r="47" spans="1:5" ht="10.5">
      <c r="A47" s="50" t="s">
        <v>160</v>
      </c>
      <c r="B47" s="49">
        <v>96000000</v>
      </c>
      <c r="C47" s="56">
        <f>'Tower Mass'!K124</f>
        <v>90718469.99999999</v>
      </c>
      <c r="D47" s="63">
        <f>C47</f>
        <v>90718469.99999999</v>
      </c>
      <c r="E47" s="21" t="s">
        <v>6</v>
      </c>
    </row>
    <row r="48" ht="10.5">
      <c r="C48" s="95"/>
    </row>
    <row r="49" spans="1:6" ht="10.5">
      <c r="A49" s="50" t="s">
        <v>102</v>
      </c>
      <c r="B49" s="25">
        <v>269000000</v>
      </c>
      <c r="C49" s="49"/>
      <c r="D49" s="61">
        <f>B49</f>
        <v>269000000</v>
      </c>
      <c r="E49" s="40" t="s">
        <v>0</v>
      </c>
      <c r="F49" s="21"/>
    </row>
    <row r="50" spans="1:6" ht="10.5">
      <c r="A50" s="50" t="s">
        <v>103</v>
      </c>
      <c r="B50" s="25">
        <v>360000000</v>
      </c>
      <c r="C50" s="49"/>
      <c r="D50" s="61">
        <f>B50</f>
        <v>360000000</v>
      </c>
      <c r="E50" s="40" t="s">
        <v>0</v>
      </c>
      <c r="F50" s="21"/>
    </row>
    <row r="51" ht="10.5"/>
    <row r="52" spans="1:5" ht="10.5">
      <c r="A52" s="123" t="s">
        <v>107</v>
      </c>
      <c r="B52" s="121"/>
      <c r="C52" s="119"/>
      <c r="D52" s="79" t="s">
        <v>113</v>
      </c>
      <c r="E52" s="21"/>
    </row>
    <row r="53" spans="1:5" ht="10.5">
      <c r="A53" s="50" t="s">
        <v>128</v>
      </c>
      <c r="B53" s="49">
        <v>4636363</v>
      </c>
      <c r="C53" s="56">
        <f>IF(D52="y",B53,AVERAGE('Tower Mass'!AC8:AC117))</f>
        <v>3254275.4071823265</v>
      </c>
      <c r="D53" s="86">
        <f>C53</f>
        <v>3254275.4071823265</v>
      </c>
      <c r="E53" s="21" t="s">
        <v>6</v>
      </c>
    </row>
    <row r="54" spans="1:6" ht="10.5">
      <c r="A54" s="50" t="s">
        <v>137</v>
      </c>
      <c r="B54" s="35"/>
      <c r="C54" s="56">
        <v>4300000</v>
      </c>
      <c r="D54" s="76">
        <f>C54</f>
        <v>4300000</v>
      </c>
      <c r="E54" s="40" t="s">
        <v>6</v>
      </c>
      <c r="F54" s="21"/>
    </row>
    <row r="55" spans="1:5" ht="10.5">
      <c r="A55" s="50" t="s">
        <v>110</v>
      </c>
      <c r="B55" s="49">
        <v>510000000</v>
      </c>
      <c r="C55" s="56">
        <f>IF(D52="y",D53*D15,'Tower Mass'!AD117+D54)</f>
        <v>362270294.79005593</v>
      </c>
      <c r="D55" s="63">
        <f>C55+'Tower Mass'!X133</f>
        <v>362270294.79005593</v>
      </c>
      <c r="E55" s="21" t="s">
        <v>6</v>
      </c>
    </row>
    <row r="56" ht="10.5"/>
    <row r="57" spans="1:4" ht="10.5">
      <c r="A57" s="123" t="s">
        <v>106</v>
      </c>
      <c r="B57" s="120"/>
      <c r="C57" s="122"/>
      <c r="D57" s="78" t="s">
        <v>113</v>
      </c>
    </row>
    <row r="58" spans="1:5" ht="10.5">
      <c r="A58" s="50" t="s">
        <v>131</v>
      </c>
      <c r="B58" s="52"/>
      <c r="C58" s="56"/>
      <c r="D58" s="86">
        <v>60</v>
      </c>
      <c r="E58" s="45" t="s">
        <v>55</v>
      </c>
    </row>
    <row r="59" spans="1:5" ht="10.5">
      <c r="A59" s="50" t="s">
        <v>119</v>
      </c>
      <c r="B59" s="52">
        <v>100</v>
      </c>
      <c r="C59" s="49">
        <v>500</v>
      </c>
      <c r="D59" s="87">
        <v>227.1</v>
      </c>
      <c r="E59" s="45" t="s">
        <v>55</v>
      </c>
    </row>
    <row r="60" spans="1:5" ht="10.5">
      <c r="A60" s="50" t="s">
        <v>118</v>
      </c>
      <c r="B60" s="52">
        <v>20</v>
      </c>
      <c r="C60" s="49">
        <v>1</v>
      </c>
      <c r="D60" s="87">
        <v>60</v>
      </c>
      <c r="E60" s="45" t="s">
        <v>55</v>
      </c>
    </row>
    <row r="61" spans="1:5" ht="10.5">
      <c r="A61" s="50" t="s">
        <v>112</v>
      </c>
      <c r="B61" s="25">
        <v>2900000000</v>
      </c>
      <c r="C61" s="55">
        <f>IF(D57="y",LOOKUP(D58,'Crush Energy'!A10:A509,'Crush Energy'!G10:G509)*D43,AVERAGE('Tower Mass'!AO8:AO117))</f>
        <v>1413374705.2261593</v>
      </c>
      <c r="D61" s="88">
        <v>0</v>
      </c>
      <c r="E61" s="45" t="s">
        <v>0</v>
      </c>
    </row>
    <row r="62" ht="10.5"/>
    <row r="63" spans="1:5" ht="10.5">
      <c r="A63" s="123" t="s">
        <v>104</v>
      </c>
      <c r="B63" s="124"/>
      <c r="C63" s="124"/>
      <c r="D63" s="77" t="s">
        <v>105</v>
      </c>
      <c r="E63" s="21"/>
    </row>
    <row r="64" spans="1:6" ht="10.5">
      <c r="A64" s="50" t="s">
        <v>101</v>
      </c>
      <c r="B64" s="25">
        <f>B49+B50</f>
        <v>629000000</v>
      </c>
      <c r="C64" s="55">
        <f>IF(D63="y",B64,AVERAGE('Tower Mass'!AK8:AK117))</f>
        <v>629000000</v>
      </c>
      <c r="D64" s="89">
        <v>0</v>
      </c>
      <c r="E64" s="40" t="s">
        <v>0</v>
      </c>
      <c r="F64" s="21"/>
    </row>
    <row r="65" ht="10.5"/>
    <row r="66" spans="1:4" ht="10.5">
      <c r="A66" s="123" t="s">
        <v>151</v>
      </c>
      <c r="B66" s="119"/>
      <c r="C66" s="121"/>
      <c r="D66" s="91" t="s">
        <v>105</v>
      </c>
    </row>
    <row r="67" spans="1:5" ht="10.5">
      <c r="A67" s="50" t="s">
        <v>152</v>
      </c>
      <c r="B67" s="49"/>
      <c r="C67" s="49"/>
      <c r="D67" s="90">
        <v>1</v>
      </c>
      <c r="E67" s="21" t="s">
        <v>114</v>
      </c>
    </row>
    <row r="68" spans="1:5" ht="10.5">
      <c r="A68" s="50" t="s">
        <v>150</v>
      </c>
      <c r="B68" s="49"/>
      <c r="C68" s="49"/>
      <c r="D68" s="90">
        <v>1</v>
      </c>
      <c r="E68" s="21" t="s">
        <v>114</v>
      </c>
    </row>
    <row r="69" spans="2:5" ht="10.5">
      <c r="B69" s="45"/>
      <c r="D69" s="106"/>
      <c r="E69" s="21"/>
    </row>
    <row r="70" spans="1:6" ht="10.5">
      <c r="A70" s="50" t="s">
        <v>98</v>
      </c>
      <c r="B70" s="52">
        <f>283600*C103/2000</f>
        <v>128638.79046</v>
      </c>
      <c r="C70" s="55"/>
      <c r="D70" s="76">
        <f>B70</f>
        <v>128638.79046</v>
      </c>
      <c r="E70" s="40" t="s">
        <v>6</v>
      </c>
      <c r="F70" s="21"/>
    </row>
    <row r="71" ht="10.5"/>
    <row r="72" spans="1:5" ht="10.5">
      <c r="A72" s="50" t="s">
        <v>34</v>
      </c>
      <c r="B72" s="49">
        <v>96</v>
      </c>
      <c r="C72" s="49"/>
      <c r="D72" s="85">
        <v>96</v>
      </c>
      <c r="E72" s="21" t="s">
        <v>93</v>
      </c>
    </row>
    <row r="73" spans="1:5" ht="10.5">
      <c r="A73" s="50" t="s">
        <v>2</v>
      </c>
      <c r="B73" s="49">
        <v>14</v>
      </c>
      <c r="C73" s="49">
        <f>D15-D72</f>
        <v>14</v>
      </c>
      <c r="D73" s="85">
        <f>C73</f>
        <v>14</v>
      </c>
      <c r="E73" s="21" t="s">
        <v>93</v>
      </c>
    </row>
    <row r="74" spans="1:5" ht="10.5">
      <c r="A74" s="50" t="s">
        <v>4</v>
      </c>
      <c r="B74" s="25">
        <f>B73*B55/B14</f>
        <v>64909090.90909091</v>
      </c>
      <c r="C74" s="55">
        <f>IF(D52="y",B74,SUMIF('Tower Mass'!A8:A123,"&lt;="&amp;D73,'Tower Mass'!AC8:AC123)+D70+D54)</f>
        <v>46457001.07210371</v>
      </c>
      <c r="D74" s="89">
        <f>C74</f>
        <v>46457001.07210371</v>
      </c>
      <c r="E74" s="21" t="s">
        <v>6</v>
      </c>
    </row>
    <row r="75" ht="10.5"/>
    <row r="76" spans="1:5" s="68" customFormat="1" ht="15">
      <c r="A76" s="65" t="s">
        <v>22</v>
      </c>
      <c r="B76" s="66">
        <v>11.6</v>
      </c>
      <c r="C76" s="74">
        <f>LOOKUP(Dimensions!D72+1,Main!A5:A109,Main!R5:R109)</f>
        <v>15.000772056618752</v>
      </c>
      <c r="D76" s="67">
        <f>C76</f>
        <v>15.000772056618752</v>
      </c>
      <c r="E76" s="41" t="s">
        <v>9</v>
      </c>
    </row>
    <row r="77" ht="10.5"/>
    <row r="78" spans="1:5" ht="10.5">
      <c r="A78" s="50" t="s">
        <v>27</v>
      </c>
      <c r="B78" s="49">
        <v>8.5</v>
      </c>
      <c r="C78" s="33">
        <f>SQRT(2*D6*D20)</f>
        <v>8.518756364634452</v>
      </c>
      <c r="D78" s="48">
        <f>C78</f>
        <v>8.518756364634452</v>
      </c>
      <c r="E78" s="21" t="s">
        <v>8</v>
      </c>
    </row>
    <row r="79" spans="1:5" ht="10.5">
      <c r="A79" s="50" t="s">
        <v>31</v>
      </c>
      <c r="B79" s="49">
        <v>51.2</v>
      </c>
      <c r="C79" s="33">
        <f>Main!Q101</f>
        <v>34.16934269794085</v>
      </c>
      <c r="D79" s="48">
        <f>C79</f>
        <v>34.16934269794085</v>
      </c>
      <c r="E79" s="21" t="s">
        <v>8</v>
      </c>
    </row>
    <row r="80" spans="1:5" ht="10.5">
      <c r="A80" s="50" t="s">
        <v>154</v>
      </c>
      <c r="B80" s="49">
        <v>60.3</v>
      </c>
      <c r="C80" s="33">
        <f>SQRT((D79*D79)+(2*D6*D73*D20))</f>
        <v>46.72807422106462</v>
      </c>
      <c r="D80" s="48">
        <f>C80</f>
        <v>46.72807422106462</v>
      </c>
      <c r="E80" s="21" t="s">
        <v>8</v>
      </c>
    </row>
    <row r="81" spans="1:5" ht="10.5">
      <c r="A81" s="50" t="s">
        <v>28</v>
      </c>
      <c r="B81" s="49">
        <v>1</v>
      </c>
      <c r="C81" s="33">
        <f>(2*D73*D20)/(D79+D80)</f>
        <v>1.2806342148566299</v>
      </c>
      <c r="D81" s="48">
        <f>C81</f>
        <v>1.2806342148566299</v>
      </c>
      <c r="E81" s="21" t="s">
        <v>9</v>
      </c>
    </row>
    <row r="82" spans="1:5" ht="10.5">
      <c r="A82" s="21"/>
      <c r="B82" s="1"/>
      <c r="D82" s="10"/>
      <c r="E82" s="21"/>
    </row>
    <row r="83" spans="1:5" s="68" customFormat="1" ht="15">
      <c r="A83" s="65" t="s">
        <v>29</v>
      </c>
      <c r="B83" s="66">
        <v>12.6</v>
      </c>
      <c r="C83" s="74">
        <f>D76+D81</f>
        <v>16.281406271475383</v>
      </c>
      <c r="D83" s="132">
        <f>C83</f>
        <v>16.281406271475383</v>
      </c>
      <c r="E83" s="41" t="s">
        <v>9</v>
      </c>
    </row>
    <row r="84" ht="10.5"/>
    <row r="85" spans="1:5" ht="10.5">
      <c r="A85" s="50" t="s">
        <v>35</v>
      </c>
      <c r="B85" s="49"/>
      <c r="C85" s="49"/>
      <c r="D85" s="19">
        <f>MAX(Main!S5:S121)</f>
        <v>0</v>
      </c>
      <c r="E85" s="21"/>
    </row>
    <row r="86" ht="10.5"/>
    <row r="87" spans="1:5" ht="10.5">
      <c r="A87" s="58" t="s">
        <v>153</v>
      </c>
      <c r="B87" s="25">
        <v>1000000000000</v>
      </c>
      <c r="C87" s="55">
        <f>IF(D52="y",Potential!J114,Potential!J114)</f>
        <v>674190559262.4277</v>
      </c>
      <c r="D87" s="61">
        <f aca="true" t="shared" si="0" ref="D87:D92">C87</f>
        <v>674190559262.4277</v>
      </c>
      <c r="E87" s="21" t="s">
        <v>0</v>
      </c>
    </row>
    <row r="88" spans="1:5" ht="10.5">
      <c r="A88" s="50" t="s">
        <v>30</v>
      </c>
      <c r="B88" s="55"/>
      <c r="C88" s="55">
        <f>SUMIF(Main!A5:A121,"&lt;="&amp;Dimensions!D72+1,Main!K5:K121)</f>
        <v>142515271702.98145</v>
      </c>
      <c r="D88" s="61">
        <f t="shared" si="0"/>
        <v>142515271702.98145</v>
      </c>
      <c r="E88" s="21" t="s">
        <v>0</v>
      </c>
    </row>
    <row r="89" spans="1:5" ht="10.5">
      <c r="A89" s="50" t="s">
        <v>161</v>
      </c>
      <c r="B89" s="55">
        <v>100000000000</v>
      </c>
      <c r="C89" s="55">
        <f>D64*D15</f>
        <v>0</v>
      </c>
      <c r="D89" s="61">
        <f t="shared" si="0"/>
        <v>0</v>
      </c>
      <c r="E89" s="21" t="s">
        <v>0</v>
      </c>
    </row>
    <row r="90" spans="1:5" ht="10.5">
      <c r="A90" s="50" t="s">
        <v>162</v>
      </c>
      <c r="B90" s="57">
        <v>320000000000</v>
      </c>
      <c r="C90" s="25">
        <f>D61*D15</f>
        <v>0</v>
      </c>
      <c r="D90" s="61">
        <f t="shared" si="0"/>
        <v>0</v>
      </c>
      <c r="E90" s="21" t="s">
        <v>0</v>
      </c>
    </row>
    <row r="91" spans="1:5" ht="10.5">
      <c r="A91" s="50" t="s">
        <v>32</v>
      </c>
      <c r="B91" s="49"/>
      <c r="C91" s="55">
        <f>D90+D89+D88</f>
        <v>142515271702.98145</v>
      </c>
      <c r="D91" s="61">
        <f t="shared" si="0"/>
        <v>142515271702.98145</v>
      </c>
      <c r="E91" s="21" t="s">
        <v>0</v>
      </c>
    </row>
    <row r="92" spans="1:5" ht="10.5">
      <c r="A92" s="50" t="s">
        <v>33</v>
      </c>
      <c r="B92" s="55">
        <v>900000000000</v>
      </c>
      <c r="C92" s="55">
        <f>D87-D91</f>
        <v>531675287559.4463</v>
      </c>
      <c r="D92" s="61">
        <f t="shared" si="0"/>
        <v>531675287559.4463</v>
      </c>
      <c r="E92" s="21" t="s">
        <v>0</v>
      </c>
    </row>
    <row r="93" ht="10.5"/>
    <row r="94" spans="1:5" ht="10.5">
      <c r="A94" s="50" t="s">
        <v>100</v>
      </c>
      <c r="B94" s="35"/>
      <c r="C94" s="35">
        <v>1.225</v>
      </c>
      <c r="D94" s="59">
        <f>C94</f>
        <v>1.225</v>
      </c>
      <c r="E94" s="45" t="s">
        <v>47</v>
      </c>
    </row>
    <row r="95" spans="1:5" ht="10.5">
      <c r="A95" s="50" t="s">
        <v>87</v>
      </c>
      <c r="B95" s="49">
        <v>9.2</v>
      </c>
      <c r="C95" s="53">
        <v>11.3</v>
      </c>
      <c r="D95" s="48">
        <f>C95</f>
        <v>11.3</v>
      </c>
      <c r="E95" s="21" t="s">
        <v>9</v>
      </c>
    </row>
    <row r="96" spans="1:5" ht="10.5">
      <c r="A96" s="50" t="s">
        <v>86</v>
      </c>
      <c r="B96" s="52">
        <v>10996</v>
      </c>
      <c r="C96" s="33">
        <f>D26*D20</f>
        <v>9899.747942400001</v>
      </c>
      <c r="D96" s="59">
        <f>C96</f>
        <v>9899.747942400001</v>
      </c>
      <c r="E96" s="45" t="s">
        <v>46</v>
      </c>
    </row>
    <row r="97" ht="10.5"/>
    <row r="98" spans="1:2" ht="15">
      <c r="A98" s="22" t="s">
        <v>41</v>
      </c>
      <c r="B98" s="22"/>
    </row>
    <row r="99" spans="1:2" ht="10.5">
      <c r="A99" s="21"/>
      <c r="B99" s="21"/>
    </row>
    <row r="100" spans="1:3" ht="10.5">
      <c r="A100" s="38" t="s">
        <v>78</v>
      </c>
      <c r="B100" s="38" t="s">
        <v>79</v>
      </c>
      <c r="C100" s="39" t="s">
        <v>42</v>
      </c>
    </row>
    <row r="101" spans="1:3" ht="10.5">
      <c r="A101" s="21" t="s">
        <v>43</v>
      </c>
      <c r="B101" s="21" t="s">
        <v>1</v>
      </c>
      <c r="C101" s="37">
        <v>0.3048</v>
      </c>
    </row>
    <row r="102" spans="1:3" ht="10.5">
      <c r="A102" s="21" t="s">
        <v>44</v>
      </c>
      <c r="B102" s="21" t="s">
        <v>1</v>
      </c>
      <c r="C102" s="37">
        <v>0.0254</v>
      </c>
    </row>
    <row r="103" spans="1:3" ht="10.5">
      <c r="A103" s="21" t="s">
        <v>52</v>
      </c>
      <c r="B103" s="21" t="s">
        <v>6</v>
      </c>
      <c r="C103" s="37">
        <v>907.1847</v>
      </c>
    </row>
    <row r="104" spans="1:3" ht="10.5">
      <c r="A104" s="46" t="s">
        <v>140</v>
      </c>
      <c r="B104" s="130" t="s">
        <v>47</v>
      </c>
      <c r="C104" s="95">
        <f>(1/POWER($C$101,3))/2000*$C$103</f>
        <v>16.018462667666803</v>
      </c>
    </row>
    <row r="105" spans="1:4" ht="10.5">
      <c r="A105" s="46" t="s">
        <v>141</v>
      </c>
      <c r="B105" s="130" t="s">
        <v>142</v>
      </c>
      <c r="C105" s="95">
        <v>4.882428</v>
      </c>
      <c r="D105" s="17"/>
    </row>
    <row r="112" ht="10.5">
      <c r="D112" s="45"/>
    </row>
    <row r="114" ht="10.5">
      <c r="C114" s="95"/>
    </row>
    <row r="115" spans="3:4" ht="10.5">
      <c r="C115" s="111"/>
      <c r="D115" s="110"/>
    </row>
    <row r="116" spans="1:6" ht="10.5">
      <c r="A116" s="21"/>
      <c r="C116" s="111"/>
      <c r="D116" s="64"/>
      <c r="E116" s="40"/>
      <c r="F116" s="21"/>
    </row>
    <row r="117" ht="10.5">
      <c r="C117" s="109"/>
    </row>
    <row r="129" spans="4:5" ht="10.5">
      <c r="D129" s="110"/>
      <c r="E129" s="109"/>
    </row>
    <row r="135" ht="10.5">
      <c r="E135" s="109"/>
    </row>
    <row r="141" spans="3:5" ht="10.5">
      <c r="C141" s="109"/>
      <c r="D141" s="110"/>
      <c r="E141" s="109"/>
    </row>
  </sheetData>
  <conditionalFormatting sqref="D85">
    <cfRule type="cellIs" priority="1" dxfId="0" operator="notEqual" stopIfTrue="1">
      <formula>0</formula>
    </cfRule>
  </conditionalFormatting>
  <printOptions horizontalCentered="1"/>
  <pageMargins left="0.3937007874015748" right="0.3937007874015748" top="0.7874015748031497" bottom="0.7874015748031497" header="0" footer="0"/>
  <pageSetup horizontalDpi="300" verticalDpi="300" orientation="portrait" paperSize="9" scale="70" r:id="rId3"/>
  <rowBreaks count="1" manualBreakCount="1">
    <brk id="96" max="255" man="1"/>
  </rowBreaks>
  <colBreaks count="1" manualBreakCount="1">
    <brk id="5" max="123" man="1"/>
  </colBreaks>
  <legacyDrawing r:id="rId2"/>
</worksheet>
</file>

<file path=xl/worksheets/sheet2.xml><?xml version="1.0" encoding="utf-8"?>
<worksheet xmlns="http://schemas.openxmlformats.org/spreadsheetml/2006/main" xmlns:r="http://schemas.openxmlformats.org/officeDocument/2006/relationships">
  <sheetPr codeName="Sheet1"/>
  <dimension ref="A1:AC121"/>
  <sheetViews>
    <sheetView workbookViewId="0" topLeftCell="A1">
      <selection activeCell="A1" sqref="A1"/>
    </sheetView>
  </sheetViews>
  <sheetFormatPr defaultColWidth="9.140625" defaultRowHeight="12.75"/>
  <cols>
    <col min="1" max="7" width="11.57421875" style="138" customWidth="1"/>
    <col min="8" max="8" width="11.57421875" style="139" customWidth="1"/>
    <col min="9" max="11" width="11.57421875" style="138" customWidth="1"/>
    <col min="12" max="13" width="11.57421875" style="139" customWidth="1"/>
    <col min="14" max="14" width="11.57421875" style="138" customWidth="1"/>
    <col min="15" max="15" width="11.57421875" style="139" customWidth="1"/>
    <col min="16" max="21" width="11.57421875" style="138" customWidth="1"/>
    <col min="22" max="16384" width="11.57421875" style="140" customWidth="1"/>
  </cols>
  <sheetData>
    <row r="1" spans="3:18" ht="54.75" customHeight="1">
      <c r="C1" s="138" t="s">
        <v>171</v>
      </c>
      <c r="D1" s="138" t="s">
        <v>172</v>
      </c>
      <c r="E1" s="138" t="s">
        <v>173</v>
      </c>
      <c r="F1" s="138" t="s">
        <v>174</v>
      </c>
      <c r="G1" s="138" t="s">
        <v>175</v>
      </c>
      <c r="H1" s="139" t="s">
        <v>176</v>
      </c>
      <c r="I1" s="138" t="s">
        <v>177</v>
      </c>
      <c r="J1" s="138" t="s">
        <v>178</v>
      </c>
      <c r="K1" s="138" t="s">
        <v>179</v>
      </c>
      <c r="L1" s="139" t="s">
        <v>180</v>
      </c>
      <c r="M1" s="139" t="s">
        <v>181</v>
      </c>
      <c r="N1" s="138" t="s">
        <v>182</v>
      </c>
      <c r="O1" s="139" t="s">
        <v>108</v>
      </c>
      <c r="P1" s="138" t="s">
        <v>183</v>
      </c>
      <c r="Q1" s="138" t="s">
        <v>184</v>
      </c>
      <c r="R1" s="138" t="s">
        <v>185</v>
      </c>
    </row>
    <row r="2" spans="1:27" ht="10.5" customHeight="1">
      <c r="A2" s="141"/>
      <c r="B2" s="141"/>
      <c r="C2" s="141" t="s">
        <v>3</v>
      </c>
      <c r="D2" s="141" t="s">
        <v>5</v>
      </c>
      <c r="E2" s="141" t="s">
        <v>13</v>
      </c>
      <c r="F2" s="141" t="s">
        <v>5</v>
      </c>
      <c r="G2" s="141" t="s">
        <v>10</v>
      </c>
      <c r="H2" s="141" t="s">
        <v>3</v>
      </c>
      <c r="I2" s="141" t="s">
        <v>5</v>
      </c>
      <c r="J2" s="141" t="s">
        <v>10</v>
      </c>
      <c r="K2" s="141" t="s">
        <v>10</v>
      </c>
      <c r="L2" s="141" t="s">
        <v>10</v>
      </c>
      <c r="M2" s="141" t="s">
        <v>10</v>
      </c>
      <c r="N2" s="141" t="s">
        <v>10</v>
      </c>
      <c r="O2" s="141" t="s">
        <v>3</v>
      </c>
      <c r="P2" s="141" t="s">
        <v>3</v>
      </c>
      <c r="Q2" s="141" t="s">
        <v>5</v>
      </c>
      <c r="R2" s="141" t="s">
        <v>13</v>
      </c>
      <c r="S2" s="141" t="s">
        <v>56</v>
      </c>
      <c r="U2" s="147" t="s">
        <v>75</v>
      </c>
      <c r="V2" s="147"/>
      <c r="W2" s="147"/>
      <c r="Y2" s="147" t="s">
        <v>49</v>
      </c>
      <c r="Z2" s="147"/>
      <c r="AA2" s="147"/>
    </row>
    <row r="3" spans="1:27" ht="10.5">
      <c r="A3" s="141"/>
      <c r="B3" s="141"/>
      <c r="C3" s="141" t="s">
        <v>16</v>
      </c>
      <c r="D3" s="141" t="s">
        <v>16</v>
      </c>
      <c r="E3" s="141" t="s">
        <v>18</v>
      </c>
      <c r="F3" s="141" t="s">
        <v>17</v>
      </c>
      <c r="G3" s="141" t="s">
        <v>17</v>
      </c>
      <c r="H3" s="141" t="s">
        <v>19</v>
      </c>
      <c r="I3" s="141" t="s">
        <v>19</v>
      </c>
      <c r="J3" s="141" t="s">
        <v>19</v>
      </c>
      <c r="K3" s="141" t="s">
        <v>11</v>
      </c>
      <c r="L3" s="141" t="s">
        <v>23</v>
      </c>
      <c r="M3" s="141" t="s">
        <v>14</v>
      </c>
      <c r="N3" s="141" t="s">
        <v>59</v>
      </c>
      <c r="O3" s="141" t="s">
        <v>15</v>
      </c>
      <c r="P3" s="141" t="s">
        <v>20</v>
      </c>
      <c r="Q3" s="141" t="s">
        <v>20</v>
      </c>
      <c r="R3" s="141" t="s">
        <v>12</v>
      </c>
      <c r="S3" s="141" t="s">
        <v>111</v>
      </c>
      <c r="Y3" s="138" t="s">
        <v>51</v>
      </c>
      <c r="Z3" s="138" t="s">
        <v>50</v>
      </c>
      <c r="AA3" s="140" t="s">
        <v>36</v>
      </c>
    </row>
    <row r="5" spans="1:27" ht="10.5">
      <c r="A5" s="139">
        <f>Dimensions!$D$72-B5+1</f>
        <v>1</v>
      </c>
      <c r="B5" s="139">
        <f>Dimensions!$D$72</f>
        <v>96</v>
      </c>
      <c r="C5" s="142">
        <f>Dimensions!$D$74</f>
        <v>46457001.07210371</v>
      </c>
      <c r="D5" s="143">
        <v>0</v>
      </c>
      <c r="E5" s="144">
        <f>SQRT(2*Dimensions!$D$20/Dimensions!$D$6)</f>
        <v>0.8686713979426668</v>
      </c>
      <c r="F5" s="143">
        <f>Dimensions!$D$78</f>
        <v>8.518756364634452</v>
      </c>
      <c r="G5" s="145">
        <f>0.5*C5*F5*F5</f>
        <v>1685673933.3858593</v>
      </c>
      <c r="H5" s="142">
        <f>IF(Dimensions!$D$52="y",C5+Dimensions!$D$53,C5+LOOKUP(110-B6,'Tower Mass'!$A$8:$A$124,'Tower Mass'!$AC$8:$AC$124))</f>
        <v>48892618.50737876</v>
      </c>
      <c r="I5" s="143">
        <f>C5*F5/H5</f>
        <v>8.09438900281208</v>
      </c>
      <c r="J5" s="145">
        <f>0.5*H5*I5*I5</f>
        <v>1601700995.3906553</v>
      </c>
      <c r="K5" s="145">
        <f>G5-J5</f>
        <v>83972937.99520397</v>
      </c>
      <c r="L5" s="145">
        <f>IF(Dimensions!$D$63="y",Dimensions!$D$64,LOOKUP(110-B6,'Tower Mass'!$A$8:$A$124,'Tower Mass'!$AK$8:$AK$124))</f>
        <v>0</v>
      </c>
      <c r="M5" s="145">
        <f>IF(Dimensions!$D$57="y",Dimensions!$D$61,LOOKUP(110-B6,'Tower Mass'!$A$8:$A$124,'Tower Mass'!$AO$8:$AO$124))</f>
        <v>795634323.7557073</v>
      </c>
      <c r="N5" s="145">
        <f>MAX(J5-M5-L5,0)</f>
        <v>806066671.634948</v>
      </c>
      <c r="O5" s="142">
        <f>IF(Dimensions!$D$66="y",((H5-C5)*(Dimensions!$D$67/100))+(H5*Dimensions!$D$68/100),0)</f>
        <v>513282.35942653805</v>
      </c>
      <c r="P5" s="142">
        <f aca="true" t="shared" si="0" ref="P5:P36">H5-O5</f>
        <v>48379336.14795222</v>
      </c>
      <c r="Q5" s="143">
        <f aca="true" t="shared" si="1" ref="Q5:Q36">SQRT(2*N5/H5)</f>
        <v>5.742206833667472</v>
      </c>
      <c r="R5" s="144">
        <f aca="true" t="shared" si="2" ref="R5:R36">IF(ISERROR(R4+E5),R4,R4+E5)</f>
        <v>0.8686713979426668</v>
      </c>
      <c r="S5" s="138">
        <f>IF(N5=0,B5,"")</f>
      </c>
      <c r="U5" s="138">
        <f aca="true" t="shared" si="3" ref="U5:U11">0.5*C5*F5*F5-0.5*C5*I5*I5</f>
        <v>163762709.7351265</v>
      </c>
      <c r="V5" s="140">
        <f aca="true" t="shared" si="4" ref="V5:V36">2*0.1/(F5+Q5)</f>
        <v>0.014024298164082937</v>
      </c>
      <c r="W5" s="140">
        <f>V5</f>
        <v>0.014024298164082937</v>
      </c>
      <c r="Y5" s="140">
        <f>(Q5*Q5-F5*F5)/(2*Dimensions!$D$6-20000000000/C5)</f>
        <v>0.09636653900677268</v>
      </c>
      <c r="Z5" s="140">
        <f aca="true" t="shared" si="5" ref="Z5:Z36">2*Y5/(I5+F5)</f>
        <v>0.011601239485402079</v>
      </c>
      <c r="AA5" s="140">
        <f>Z5</f>
        <v>0.011601239485402079</v>
      </c>
    </row>
    <row r="6" spans="1:27" ht="10.5">
      <c r="A6" s="138">
        <f>A5+1</f>
        <v>2</v>
      </c>
      <c r="B6" s="138">
        <f>B5-1</f>
        <v>95</v>
      </c>
      <c r="C6" s="142">
        <f>P5</f>
        <v>48379336.14795222</v>
      </c>
      <c r="D6" s="143">
        <f>Q5</f>
        <v>5.742206833667472</v>
      </c>
      <c r="E6" s="144">
        <f>(F6-D6)/Dimensions!$D$6</f>
        <v>0.4620501445806593</v>
      </c>
      <c r="F6" s="143">
        <f>SQRT(2*Dimensions!$D$6*Dimensions!$D$20+(D6*D6))</f>
        <v>10.273370884019394</v>
      </c>
      <c r="G6" s="145">
        <f>0.5*C6*F6*F6</f>
        <v>2553029559.879759</v>
      </c>
      <c r="H6" s="142">
        <f>IF(Dimensions!$D$52="y",C6+Dimensions!$D$53,C6+LOOKUP(110-B7,'Tower Mass'!$A$8:$A$124,'Tower Mass'!$AC$8:$AC$124))</f>
        <v>50826888.55442399</v>
      </c>
      <c r="I6" s="143">
        <f>C6*F6/H6</f>
        <v>9.77866002634345</v>
      </c>
      <c r="J6" s="145">
        <f>0.5*H6*I6*I6</f>
        <v>2430089245.7901726</v>
      </c>
      <c r="K6" s="145">
        <f aca="true" t="shared" si="6" ref="K6:K69">G6-J6</f>
        <v>122940314.08958626</v>
      </c>
      <c r="L6" s="145">
        <f>IF(Dimensions!$D$63="y",Dimensions!$D$64,LOOKUP(110-B7,'Tower Mass'!$A$8:$A$124,'Tower Mass'!$AK$8:$AK$124))</f>
        <v>0</v>
      </c>
      <c r="M6" s="145">
        <f>IF(Dimensions!$D$57="y",Dimensions!$D$61,LOOKUP(110-B7,'Tower Mass'!$A$8:$A$124,'Tower Mass'!$AO$8:$AO$124))</f>
        <v>799534492.0094118</v>
      </c>
      <c r="N6" s="145">
        <f aca="true" t="shared" si="7" ref="N6:N69">MAX(J6-M6-L6,0)</f>
        <v>1630554753.7807608</v>
      </c>
      <c r="O6" s="142">
        <f>IF(Dimensions!$D$66="y",((H6-C6)*(Dimensions!$D$67/100))+(H6*Dimensions!$D$68/100),0)</f>
        <v>532744.4096089576</v>
      </c>
      <c r="P6" s="142">
        <f t="shared" si="0"/>
        <v>50294144.14481503</v>
      </c>
      <c r="Q6" s="143">
        <f t="shared" si="1"/>
        <v>8.010062947772445</v>
      </c>
      <c r="R6" s="144">
        <f t="shared" si="2"/>
        <v>1.330721542523326</v>
      </c>
      <c r="S6" s="138">
        <f aca="true" t="shared" si="8" ref="S6:S69">IF(N6=0,B6,"")</f>
      </c>
      <c r="U6" s="138">
        <f t="shared" si="3"/>
        <v>239960477.05128717</v>
      </c>
      <c r="V6" s="140">
        <f t="shared" si="4"/>
        <v>0.010938864211176425</v>
      </c>
      <c r="W6" s="140">
        <f>W5+V6</f>
        <v>0.024963162375259362</v>
      </c>
      <c r="Y6" s="140">
        <f>(Q6*Q6-F6*F6)/(2*Dimensions!$D$6-20000000000/C6)</f>
        <v>0.10508500932928554</v>
      </c>
      <c r="Z6" s="140">
        <f t="shared" si="5"/>
        <v>0.010481233526822247</v>
      </c>
      <c r="AA6" s="140">
        <f>AA5+Z6</f>
        <v>0.022082473012224324</v>
      </c>
    </row>
    <row r="7" spans="1:27" ht="10.5">
      <c r="A7" s="138">
        <f aca="true" t="shared" si="9" ref="A7:A70">A6+1</f>
        <v>3</v>
      </c>
      <c r="B7" s="138">
        <f aca="true" t="shared" si="10" ref="B7:B70">B6-1</f>
        <v>94</v>
      </c>
      <c r="C7" s="142">
        <f aca="true" t="shared" si="11" ref="C7:C70">P6</f>
        <v>50294144.14481503</v>
      </c>
      <c r="D7" s="143">
        <f aca="true" t="shared" si="12" ref="D7:D70">Q6</f>
        <v>8.010062947772445</v>
      </c>
      <c r="E7" s="144">
        <f>(F7-D7)/Dimensions!$D$6</f>
        <v>0.37557280643141894</v>
      </c>
      <c r="F7" s="143">
        <f>SQRT(2*Dimensions!$D$6*Dimensions!$D$20+(D7*D7))</f>
        <v>11.69317400996312</v>
      </c>
      <c r="G7" s="145">
        <f aca="true" t="shared" si="13" ref="G7:G70">0.5*C7*F7*F7</f>
        <v>3438367171.9739633</v>
      </c>
      <c r="H7" s="142">
        <f>IF(Dimensions!$D$52="y",C7+Dimensions!$D$53,C7+LOOKUP(110-B8,'Tower Mass'!$A$8:$A$124,'Tower Mass'!$AC$8:$AC$124))</f>
        <v>52753631.522483505</v>
      </c>
      <c r="I7" s="143">
        <f aca="true" t="shared" si="14" ref="I7:I70">C7*F7/H7</f>
        <v>11.148013173592485</v>
      </c>
      <c r="J7" s="145">
        <f aca="true" t="shared" si="15" ref="J7:J70">0.5*H7*I7*I7</f>
        <v>3278063124.3624654</v>
      </c>
      <c r="K7" s="145">
        <f t="shared" si="6"/>
        <v>160304047.61149788</v>
      </c>
      <c r="L7" s="145">
        <f>IF(Dimensions!$D$63="y",Dimensions!$D$64,LOOKUP(110-B8,'Tower Mass'!$A$8:$A$124,'Tower Mass'!$AK$8:$AK$124))</f>
        <v>0</v>
      </c>
      <c r="M7" s="145">
        <f>IF(Dimensions!$D$57="y",Dimensions!$D$61,LOOKUP(110-B8,'Tower Mass'!$A$8:$A$124,'Tower Mass'!$AO$8:$AO$124))</f>
        <v>807450675.0986139</v>
      </c>
      <c r="N7" s="145">
        <f t="shared" si="7"/>
        <v>2470612449.2638516</v>
      </c>
      <c r="O7" s="142">
        <f>IF(Dimensions!$D$66="y",((H7-C7)*(Dimensions!$D$67/100))+(H7*Dimensions!$D$68/100),0)</f>
        <v>552131.1890015198</v>
      </c>
      <c r="P7" s="142">
        <f t="shared" si="0"/>
        <v>52201500.33348198</v>
      </c>
      <c r="Q7" s="143">
        <f t="shared" si="1"/>
        <v>9.678122833262577</v>
      </c>
      <c r="R7" s="144">
        <f t="shared" si="2"/>
        <v>1.706294348954745</v>
      </c>
      <c r="S7" s="138">
        <f t="shared" si="8"/>
      </c>
      <c r="U7" s="138">
        <f t="shared" si="3"/>
        <v>313134376.9156294</v>
      </c>
      <c r="V7" s="140">
        <f t="shared" si="4"/>
        <v>0.009358346452587705</v>
      </c>
      <c r="W7" s="140">
        <f aca="true" t="shared" si="16" ref="W7:W70">W6+V7</f>
        <v>0.03432150882784707</v>
      </c>
      <c r="Y7" s="140">
        <f>(Q7*Q7-F7*F7)/(2*Dimensions!$D$6-20000000000/C7)</f>
        <v>0.11391234854251488</v>
      </c>
      <c r="Z7" s="140">
        <f t="shared" si="5"/>
        <v>0.00997429315972906</v>
      </c>
      <c r="AA7" s="140">
        <f aca="true" t="shared" si="17" ref="AA7:AA70">AA6+Z7</f>
        <v>0.03205676617195338</v>
      </c>
    </row>
    <row r="8" spans="1:27" ht="10.5">
      <c r="A8" s="138">
        <f t="shared" si="9"/>
        <v>4</v>
      </c>
      <c r="B8" s="138">
        <f t="shared" si="10"/>
        <v>93</v>
      </c>
      <c r="C8" s="142">
        <f t="shared" si="11"/>
        <v>52201500.33348198</v>
      </c>
      <c r="D8" s="143">
        <f t="shared" si="12"/>
        <v>9.678122833262577</v>
      </c>
      <c r="E8" s="144">
        <f>(F8-D8)/Dimensions!$D$6</f>
        <v>0.3278492623391984</v>
      </c>
      <c r="F8" s="143">
        <f>SQRT(2*Dimensions!$D$6*Dimensions!$D$20+(D8*D8))</f>
        <v>12.893225801781277</v>
      </c>
      <c r="G8" s="145">
        <f t="shared" si="13"/>
        <v>4338865292.298167</v>
      </c>
      <c r="H8" s="142">
        <f>IF(Dimensions!$D$52="y",C8+Dimensions!$D$53,C8+LOOKUP(110-B9,'Tower Mass'!$A$8:$A$124,'Tower Mass'!$AC$8:$AC$124))</f>
        <v>54672922.68234718</v>
      </c>
      <c r="I8" s="143">
        <f t="shared" si="14"/>
        <v>12.310403358199418</v>
      </c>
      <c r="J8" s="145">
        <f t="shared" si="15"/>
        <v>4142732213.5088105</v>
      </c>
      <c r="K8" s="145">
        <f t="shared" si="6"/>
        <v>196133078.7893567</v>
      </c>
      <c r="L8" s="145">
        <f>IF(Dimensions!$D$63="y",Dimensions!$D$64,LOOKUP(110-B9,'Tower Mass'!$A$8:$A$124,'Tower Mass'!$AK$8:$AK$124))</f>
        <v>0</v>
      </c>
      <c r="M8" s="145">
        <f>IF(Dimensions!$D$57="y",Dimensions!$D$61,LOOKUP(110-B9,'Tower Mass'!$A$8:$A$124,'Tower Mass'!$AO$8:$AO$124))</f>
        <v>811467842.6364177</v>
      </c>
      <c r="N8" s="145">
        <f t="shared" si="7"/>
        <v>3331264370.8723927</v>
      </c>
      <c r="O8" s="142">
        <f>IF(Dimensions!$D$66="y",((H8-C8)*(Dimensions!$D$67/100))+(H8*Dimensions!$D$68/100),0)</f>
        <v>571443.4503121238</v>
      </c>
      <c r="P8" s="142">
        <f t="shared" si="0"/>
        <v>54101479.232035056</v>
      </c>
      <c r="Q8" s="143">
        <f t="shared" si="1"/>
        <v>11.039093260243012</v>
      </c>
      <c r="R8" s="144">
        <f t="shared" si="2"/>
        <v>2.0341436112939437</v>
      </c>
      <c r="S8" s="138">
        <f t="shared" si="8"/>
      </c>
      <c r="U8" s="138">
        <f t="shared" si="3"/>
        <v>383400202.5411887</v>
      </c>
      <c r="V8" s="140">
        <f t="shared" si="4"/>
        <v>0.00835690011827392</v>
      </c>
      <c r="W8" s="140">
        <f t="shared" si="16"/>
        <v>0.04267840894612099</v>
      </c>
      <c r="Y8" s="140">
        <f>(Q8*Q8-F8*F8)/(2*Dimensions!$D$6-20000000000/C8)</f>
        <v>0.12206756926338884</v>
      </c>
      <c r="Z8" s="140">
        <f t="shared" si="5"/>
        <v>0.009686507327064825</v>
      </c>
      <c r="AA8" s="140">
        <f t="shared" si="17"/>
        <v>0.041743273499018206</v>
      </c>
    </row>
    <row r="9" spans="1:27" ht="10.5">
      <c r="A9" s="138">
        <f t="shared" si="9"/>
        <v>5</v>
      </c>
      <c r="B9" s="138">
        <f t="shared" si="10"/>
        <v>92</v>
      </c>
      <c r="C9" s="142">
        <f t="shared" si="11"/>
        <v>54101479.232035056</v>
      </c>
      <c r="D9" s="143">
        <f t="shared" si="12"/>
        <v>11.039093260243012</v>
      </c>
      <c r="E9" s="144">
        <f>(F9-D9)/Dimensions!$D$6</f>
        <v>0.29620215889718243</v>
      </c>
      <c r="F9" s="143">
        <f>SQRT(2*Dimensions!$D$6*Dimensions!$D$20+(D9*D9))</f>
        <v>13.943844161792066</v>
      </c>
      <c r="G9" s="145">
        <f t="shared" si="13"/>
        <v>5259496673.852261</v>
      </c>
      <c r="H9" s="142">
        <f>IF(Dimensions!$D$52="y",C9+Dimensions!$D$53,C9+LOOKUP(110-B10,'Tower Mass'!$A$8:$A$124,'Tower Mass'!$AC$8:$AC$124))</f>
        <v>56584836.500083156</v>
      </c>
      <c r="I9" s="143">
        <f t="shared" si="14"/>
        <v>13.331886102256707</v>
      </c>
      <c r="J9" s="145">
        <f t="shared" si="15"/>
        <v>5028671419.258361</v>
      </c>
      <c r="K9" s="145">
        <f t="shared" si="6"/>
        <v>230825254.59389973</v>
      </c>
      <c r="L9" s="145">
        <f>IF(Dimensions!$D$63="y",Dimensions!$D$64,LOOKUP(110-B10,'Tower Mass'!$A$8:$A$124,'Tower Mass'!$AK$8:$AK$124))</f>
        <v>0</v>
      </c>
      <c r="M9" s="145">
        <f>IF(Dimensions!$D$57="y",Dimensions!$D$61,LOOKUP(110-B10,'Tower Mass'!$A$8:$A$124,'Tower Mass'!$AO$8:$AO$124))</f>
        <v>819623298.3413063</v>
      </c>
      <c r="N9" s="145">
        <f t="shared" si="7"/>
        <v>4209048120.9170547</v>
      </c>
      <c r="O9" s="142">
        <f>IF(Dimensions!$D$66="y",((H9-C9)*(Dimensions!$D$67/100))+(H9*Dimensions!$D$68/100),0)</f>
        <v>590681.9376813126</v>
      </c>
      <c r="P9" s="142">
        <f t="shared" si="0"/>
        <v>55994154.562401846</v>
      </c>
      <c r="Q9" s="143">
        <f t="shared" si="1"/>
        <v>12.197109160273987</v>
      </c>
      <c r="R9" s="144">
        <f t="shared" si="2"/>
        <v>2.3303457701911263</v>
      </c>
      <c r="S9" s="138">
        <f t="shared" si="8"/>
      </c>
      <c r="U9" s="138">
        <f t="shared" si="3"/>
        <v>451520205.5746746</v>
      </c>
      <c r="V9" s="140">
        <f t="shared" si="4"/>
        <v>0.007650830386173269</v>
      </c>
      <c r="W9" s="140">
        <f t="shared" si="16"/>
        <v>0.05032923933229426</v>
      </c>
      <c r="Y9" s="140">
        <f>(Q9*Q9-F9*F9)/(2*Dimensions!$D$6-20000000000/C9)</f>
        <v>0.13043766899747355</v>
      </c>
      <c r="Z9" s="140">
        <f t="shared" si="5"/>
        <v>0.009564375929424634</v>
      </c>
      <c r="AA9" s="140">
        <f t="shared" si="17"/>
        <v>0.05130764942844284</v>
      </c>
    </row>
    <row r="10" spans="1:27" ht="10.5">
      <c r="A10" s="138">
        <f t="shared" si="9"/>
        <v>6</v>
      </c>
      <c r="B10" s="138">
        <f t="shared" si="10"/>
        <v>91</v>
      </c>
      <c r="C10" s="142">
        <f t="shared" si="11"/>
        <v>55994154.562401846</v>
      </c>
      <c r="D10" s="143">
        <f t="shared" si="12"/>
        <v>12.197109160273987</v>
      </c>
      <c r="E10" s="144">
        <f>(F10-D10)/Dimensions!$D$6</f>
        <v>0.2733192609184484</v>
      </c>
      <c r="F10" s="143">
        <f>SQRT(2*Dimensions!$D$6*Dimensions!$D$20+(D10*D10))</f>
        <v>14.877455490359889</v>
      </c>
      <c r="G10" s="145">
        <f t="shared" si="13"/>
        <v>6196836181.5674515</v>
      </c>
      <c r="H10" s="142">
        <f>IF(Dimensions!$D$52="y",C10+Dimensions!$D$53,C10+LOOKUP(110-B11,'Tower Mass'!$A$8:$A$124,'Tower Mass'!$AC$8:$AC$124))</f>
        <v>58489446.85366047</v>
      </c>
      <c r="I10" s="143">
        <f t="shared" si="14"/>
        <v>14.242749539190253</v>
      </c>
      <c r="J10" s="145">
        <f t="shared" si="15"/>
        <v>5932465113.180606</v>
      </c>
      <c r="K10" s="145">
        <f t="shared" si="6"/>
        <v>264371068.3868456</v>
      </c>
      <c r="L10" s="145">
        <f>IF(Dimensions!$D$63="y",Dimensions!$D$64,LOOKUP(110-B11,'Tower Mass'!$A$8:$A$124,'Tower Mass'!$AK$8:$AK$124))</f>
        <v>0</v>
      </c>
      <c r="M10" s="145">
        <f>IF(Dimensions!$D$57="y",Dimensions!$D$61,LOOKUP(110-B11,'Tower Mass'!$A$8:$A$124,'Tower Mass'!$AO$8:$AO$124))</f>
        <v>827944347.0554316</v>
      </c>
      <c r="N10" s="145">
        <f t="shared" si="7"/>
        <v>5104520766.1251745</v>
      </c>
      <c r="O10" s="142">
        <f>IF(Dimensions!$D$66="y",((H10-C10)*(Dimensions!$D$67/100))+(H10*Dimensions!$D$68/100),0)</f>
        <v>609847.3914491909</v>
      </c>
      <c r="P10" s="142">
        <f t="shared" si="0"/>
        <v>57879599.46221128</v>
      </c>
      <c r="Q10" s="143">
        <f t="shared" si="1"/>
        <v>13.211548646171572</v>
      </c>
      <c r="R10" s="144">
        <f t="shared" si="2"/>
        <v>2.603665031109575</v>
      </c>
      <c r="S10" s="138">
        <f t="shared" si="8"/>
      </c>
      <c r="U10" s="138">
        <f t="shared" si="3"/>
        <v>517463468.1511612</v>
      </c>
      <c r="V10" s="140">
        <f t="shared" si="4"/>
        <v>0.0071202239505489566</v>
      </c>
      <c r="W10" s="140">
        <f t="shared" si="16"/>
        <v>0.05744946328284321</v>
      </c>
      <c r="Y10" s="140">
        <f>(Q10*Q10-F10*F10)/(2*Dimensions!$D$6-20000000000/C10)</f>
        <v>0.13862044077779284</v>
      </c>
      <c r="Z10" s="140">
        <f t="shared" si="5"/>
        <v>0.00952056763591642</v>
      </c>
      <c r="AA10" s="140">
        <f t="shared" si="17"/>
        <v>0.06082821706435926</v>
      </c>
    </row>
    <row r="11" spans="1:27" ht="10.5">
      <c r="A11" s="138">
        <f t="shared" si="9"/>
        <v>7</v>
      </c>
      <c r="B11" s="138">
        <f t="shared" si="10"/>
        <v>90</v>
      </c>
      <c r="C11" s="142">
        <f t="shared" si="11"/>
        <v>57879599.46221128</v>
      </c>
      <c r="D11" s="143">
        <f t="shared" si="12"/>
        <v>13.211548646171572</v>
      </c>
      <c r="E11" s="144">
        <f>(F11-D11)/Dimensions!$D$6</f>
        <v>0.2557773188911415</v>
      </c>
      <c r="F11" s="143">
        <f>SQRT(2*Dimensions!$D$6*Dimensions!$D$20+(D11*D11))</f>
        <v>15.719867290475385</v>
      </c>
      <c r="G11" s="145">
        <f t="shared" si="13"/>
        <v>7151436258.323622</v>
      </c>
      <c r="H11" s="142">
        <f>IF(Dimensions!$D$52="y",C11+Dimensions!$D$53,C11+LOOKUP(110-B12,'Tower Mass'!$A$8:$A$124,'Tower Mass'!$AC$8:$AC$124))</f>
        <v>60386826.72466662</v>
      </c>
      <c r="I11" s="143">
        <f t="shared" si="14"/>
        <v>15.067187194987598</v>
      </c>
      <c r="J11" s="145">
        <f t="shared" si="15"/>
        <v>6854512625.718557</v>
      </c>
      <c r="K11" s="145">
        <f t="shared" si="6"/>
        <v>296923632.6050644</v>
      </c>
      <c r="L11" s="145">
        <f>IF(Dimensions!$D$63="y",Dimensions!$D$64,LOOKUP(110-B12,'Tower Mass'!$A$8:$A$124,'Tower Mass'!$AK$8:$AK$124))</f>
        <v>0</v>
      </c>
      <c r="M11" s="145">
        <f>IF(Dimensions!$D$57="y",Dimensions!$D$61,LOOKUP(110-B12,'Tower Mass'!$A$8:$A$124,'Tower Mass'!$AO$8:$AO$124))</f>
        <v>832168552.9077553</v>
      </c>
      <c r="N11" s="145">
        <f t="shared" si="7"/>
        <v>6022344072.810802</v>
      </c>
      <c r="O11" s="142">
        <f>IF(Dimensions!$D$66="y",((H11-C11)*(Dimensions!$D$67/100))+(H11*Dimensions!$D$68/100),0)</f>
        <v>628940.5398712195</v>
      </c>
      <c r="P11" s="142">
        <f t="shared" si="0"/>
        <v>59757886.184795395</v>
      </c>
      <c r="Q11" s="143">
        <f t="shared" si="1"/>
        <v>14.1229907861373</v>
      </c>
      <c r="R11" s="144">
        <f t="shared" si="2"/>
        <v>2.8594423500007164</v>
      </c>
      <c r="S11" s="138">
        <f t="shared" si="8"/>
      </c>
      <c r="U11" s="138">
        <f t="shared" si="3"/>
        <v>581519162.0970268</v>
      </c>
      <c r="V11" s="140">
        <f t="shared" si="4"/>
        <v>0.006701770972691669</v>
      </c>
      <c r="W11" s="140">
        <f t="shared" si="16"/>
        <v>0.06415123425553489</v>
      </c>
      <c r="Y11" s="140">
        <f>(Q11*Q11-F11*F11)/(2*Dimensions!$D$6-20000000000/C11)</f>
        <v>0.1462127634020134</v>
      </c>
      <c r="Z11" s="140">
        <f t="shared" si="5"/>
        <v>0.009498327517564376</v>
      </c>
      <c r="AA11" s="140">
        <f t="shared" si="17"/>
        <v>0.07032654458192364</v>
      </c>
    </row>
    <row r="12" spans="1:27" ht="10.5">
      <c r="A12" s="138">
        <f t="shared" si="9"/>
        <v>8</v>
      </c>
      <c r="B12" s="138">
        <f t="shared" si="10"/>
        <v>89</v>
      </c>
      <c r="C12" s="142">
        <f t="shared" si="11"/>
        <v>59757886.184795395</v>
      </c>
      <c r="D12" s="143">
        <f t="shared" si="12"/>
        <v>14.1229907861373</v>
      </c>
      <c r="E12" s="144">
        <f>(F12-D12)/Dimensions!$D$6</f>
        <v>0.2417015959956927</v>
      </c>
      <c r="F12" s="143">
        <f>SQRT(2*Dimensions!$D$6*Dimensions!$D$20+(D12*D12))</f>
        <v>16.49327374250846</v>
      </c>
      <c r="G12" s="145">
        <f t="shared" si="13"/>
        <v>8127911484.365666</v>
      </c>
      <c r="H12" s="142">
        <f>IF(Dimensions!$D$52="y",C12+Dimensions!$D$53,C12+LOOKUP(110-B13,'Tower Mass'!$A$8:$A$124,'Tower Mass'!$AC$8:$AC$124))</f>
        <v>62277048.41844745</v>
      </c>
      <c r="I12" s="143">
        <f t="shared" si="14"/>
        <v>15.82610608802622</v>
      </c>
      <c r="J12" s="145">
        <f t="shared" si="15"/>
        <v>7799130205.068306</v>
      </c>
      <c r="K12" s="145">
        <f t="shared" si="6"/>
        <v>328781279.2973604</v>
      </c>
      <c r="L12" s="145">
        <f>IF(Dimensions!$D$63="y",Dimensions!$D$64,LOOKUP(110-B13,'Tower Mass'!$A$8:$A$124,'Tower Mass'!$AK$8:$AK$124))</f>
        <v>0</v>
      </c>
      <c r="M12" s="145">
        <f>IF(Dimensions!$D$57="y",Dimensions!$D$61,LOOKUP(110-B13,'Tower Mass'!$A$8:$A$124,'Tower Mass'!$AO$8:$AO$124))</f>
        <v>840747610.1542269</v>
      </c>
      <c r="N12" s="145">
        <f t="shared" si="7"/>
        <v>6958382594.914079</v>
      </c>
      <c r="O12" s="142">
        <f>IF(Dimensions!$D$66="y",((H12-C12)*(Dimensions!$D$67/100))+(H12*Dimensions!$D$68/100),0)</f>
        <v>647962.106520995</v>
      </c>
      <c r="P12" s="142">
        <f t="shared" si="0"/>
        <v>61629086.311926454</v>
      </c>
      <c r="Q12" s="143">
        <f t="shared" si="1"/>
        <v>14.948758960096935</v>
      </c>
      <c r="R12" s="144">
        <f t="shared" si="2"/>
        <v>3.101143945996409</v>
      </c>
      <c r="S12" s="138">
        <f t="shared" si="8"/>
      </c>
      <c r="U12" s="138">
        <f aca="true" t="shared" si="18" ref="U12:U75">0.5*C12*F12*F12-0.5*C12*I12*I12</f>
        <v>644263062.1835785</v>
      </c>
      <c r="V12" s="140">
        <f t="shared" si="4"/>
        <v>0.0063609119006936</v>
      </c>
      <c r="W12" s="140">
        <f t="shared" si="16"/>
        <v>0.07051214615622849</v>
      </c>
      <c r="Y12" s="140">
        <f>(Q12*Q12-F12*F12)/(2*Dimensions!$D$6-20000000000/C12)</f>
        <v>0.1541327261225302</v>
      </c>
      <c r="Z12" s="140">
        <f t="shared" si="5"/>
        <v>0.00953809924142844</v>
      </c>
      <c r="AA12" s="140">
        <f t="shared" si="17"/>
        <v>0.07986464382335208</v>
      </c>
    </row>
    <row r="13" spans="1:27" ht="10.5">
      <c r="A13" s="138">
        <f t="shared" si="9"/>
        <v>9</v>
      </c>
      <c r="B13" s="138">
        <f t="shared" si="10"/>
        <v>88</v>
      </c>
      <c r="C13" s="142">
        <f t="shared" si="11"/>
        <v>61629086.311926454</v>
      </c>
      <c r="D13" s="143">
        <f t="shared" si="12"/>
        <v>14.948758960096935</v>
      </c>
      <c r="E13" s="144">
        <f>(F13-D13)/Dimensions!$D$6</f>
        <v>0.23013946820915201</v>
      </c>
      <c r="F13" s="143">
        <f>SQRT(2*Dimensions!$D$6*Dimensions!$D$20+(D13*D13))</f>
        <v>17.205656176010216</v>
      </c>
      <c r="G13" s="145">
        <f t="shared" si="13"/>
        <v>9122171094.393003</v>
      </c>
      <c r="H13" s="142">
        <f>IF(Dimensions!$D$52="y",C13+Dimensions!$D$53,C13+LOOKUP(110-B14,'Tower Mass'!$A$8:$A$124,'Tower Mass'!$AC$8:$AC$124))</f>
        <v>64160183.51677522</v>
      </c>
      <c r="I13" s="143">
        <f t="shared" si="14"/>
        <v>16.52689894890063</v>
      </c>
      <c r="J13" s="145">
        <f t="shared" si="15"/>
        <v>8762304577.59706</v>
      </c>
      <c r="K13" s="145">
        <f t="shared" si="6"/>
        <v>359866516.7959442</v>
      </c>
      <c r="L13" s="145">
        <f>IF(Dimensions!$D$63="y",Dimensions!$D$64,LOOKUP(110-B14,'Tower Mass'!$A$8:$A$124,'Tower Mass'!$AK$8:$AK$124))</f>
        <v>0</v>
      </c>
      <c r="M13" s="145">
        <f>IF(Dimensions!$D$57="y",Dimensions!$D$61,LOOKUP(110-B14,'Tower Mass'!$A$8:$A$124,'Tower Mass'!$AO$8:$AO$124))</f>
        <v>845103815.3881866</v>
      </c>
      <c r="N13" s="145">
        <f t="shared" si="7"/>
        <v>7917200762.208873</v>
      </c>
      <c r="O13" s="142">
        <f>IF(Dimensions!$D$66="y",((H13-C13)*(Dimensions!$D$67/100))+(H13*Dimensions!$D$68/100),0)</f>
        <v>666912.8072162399</v>
      </c>
      <c r="P13" s="142">
        <f t="shared" si="0"/>
        <v>63493270.70955898</v>
      </c>
      <c r="Q13" s="143">
        <f t="shared" si="1"/>
        <v>15.709704932766996</v>
      </c>
      <c r="R13" s="144">
        <f t="shared" si="2"/>
        <v>3.3312834142055614</v>
      </c>
      <c r="S13" s="138">
        <f t="shared" si="8"/>
      </c>
      <c r="U13" s="138">
        <f t="shared" si="18"/>
        <v>705536423.0952425</v>
      </c>
      <c r="V13" s="140">
        <f t="shared" si="4"/>
        <v>0.006076190364099272</v>
      </c>
      <c r="W13" s="140">
        <f t="shared" si="16"/>
        <v>0.07658833652032776</v>
      </c>
      <c r="Y13" s="140">
        <f>(Q13*Q13-F13*F13)/(2*Dimensions!$D$6-20000000000/C13)</f>
        <v>0.16149017906846033</v>
      </c>
      <c r="Z13" s="140">
        <f t="shared" si="5"/>
        <v>0.009574737429196576</v>
      </c>
      <c r="AA13" s="140">
        <f t="shared" si="17"/>
        <v>0.08943938125254866</v>
      </c>
    </row>
    <row r="14" spans="1:27" ht="10.5">
      <c r="A14" s="138">
        <f t="shared" si="9"/>
        <v>10</v>
      </c>
      <c r="B14" s="138">
        <f t="shared" si="10"/>
        <v>87</v>
      </c>
      <c r="C14" s="142">
        <f t="shared" si="11"/>
        <v>63493270.70955898</v>
      </c>
      <c r="D14" s="143">
        <f t="shared" si="12"/>
        <v>15.709704932766996</v>
      </c>
      <c r="E14" s="144">
        <f>(F14-D14)/Dimensions!$D$6</f>
        <v>0.22036622072359835</v>
      </c>
      <c r="F14" s="143">
        <f>SQRT(2*Dimensions!$D$6*Dimensions!$D$20+(D14*D14))</f>
        <v>17.870759331226072</v>
      </c>
      <c r="G14" s="145">
        <f t="shared" si="13"/>
        <v>10138733693.930994</v>
      </c>
      <c r="H14" s="142">
        <f>IF(Dimensions!$D$52="y",C14+Dimensions!$D$53,C14+LOOKUP(110-B15,'Tower Mass'!$A$8:$A$124,'Tower Mass'!$AC$8:$AC$124))</f>
        <v>66036302.88560446</v>
      </c>
      <c r="I14" s="143">
        <f t="shared" si="14"/>
        <v>17.182563384393625</v>
      </c>
      <c r="J14" s="145">
        <f t="shared" si="15"/>
        <v>9748295027.903803</v>
      </c>
      <c r="K14" s="145">
        <f t="shared" si="6"/>
        <v>390438666.02719116</v>
      </c>
      <c r="L14" s="145">
        <f>IF(Dimensions!$D$63="y",Dimensions!$D$64,LOOKUP(110-B15,'Tower Mass'!$A$8:$A$124,'Tower Mass'!$AK$8:$AK$124))</f>
        <v>0</v>
      </c>
      <c r="M14" s="145">
        <f>IF(Dimensions!$D$57="y",Dimensions!$D$61,LOOKUP(110-B15,'Tower Mass'!$A$8:$A$124,'Tower Mass'!$AO$8:$AO$124))</f>
        <v>853953069.9995812</v>
      </c>
      <c r="N14" s="145">
        <f t="shared" si="7"/>
        <v>8894341957.904222</v>
      </c>
      <c r="O14" s="142">
        <f>IF(Dimensions!$D$66="y",((H14-C14)*(Dimensions!$D$67/100))+(H14*Dimensions!$D$68/100),0)</f>
        <v>685793.3506164994</v>
      </c>
      <c r="P14" s="142">
        <f t="shared" si="0"/>
        <v>65350509.534987964</v>
      </c>
      <c r="Q14" s="143">
        <f t="shared" si="1"/>
        <v>16.41271898738463</v>
      </c>
      <c r="R14" s="144">
        <f t="shared" si="2"/>
        <v>3.5516496349291597</v>
      </c>
      <c r="S14" s="138">
        <f t="shared" si="8"/>
      </c>
      <c r="U14" s="138">
        <f t="shared" si="18"/>
        <v>765841691.8520622</v>
      </c>
      <c r="V14" s="140">
        <f t="shared" si="4"/>
        <v>0.00583371378310323</v>
      </c>
      <c r="W14" s="140">
        <f t="shared" si="16"/>
        <v>0.08242205030343099</v>
      </c>
      <c r="Y14" s="140">
        <f>(Q14*Q14-F14*F14)/(2*Dimensions!$D$6-20000000000/C14)</f>
        <v>0.16922802568704284</v>
      </c>
      <c r="Z14" s="140">
        <f t="shared" si="5"/>
        <v>0.009655462739435832</v>
      </c>
      <c r="AA14" s="140">
        <f t="shared" si="17"/>
        <v>0.0990948439919845</v>
      </c>
    </row>
    <row r="15" spans="1:27" ht="10.5">
      <c r="A15" s="138">
        <f t="shared" si="9"/>
        <v>11</v>
      </c>
      <c r="B15" s="138">
        <f t="shared" si="10"/>
        <v>86</v>
      </c>
      <c r="C15" s="142">
        <f t="shared" si="11"/>
        <v>65350509.534987964</v>
      </c>
      <c r="D15" s="143">
        <f t="shared" si="12"/>
        <v>16.41271898738463</v>
      </c>
      <c r="E15" s="144">
        <f>(F15-D15)/Dimensions!$D$6</f>
        <v>0.21200695098003147</v>
      </c>
      <c r="F15" s="143">
        <f>SQRT(2*Dimensions!$D$6*Dimensions!$D$20+(D15*D15))</f>
        <v>18.491796953212955</v>
      </c>
      <c r="G15" s="145">
        <f t="shared" si="13"/>
        <v>11173190787.077398</v>
      </c>
      <c r="H15" s="142">
        <f>IF(Dimensions!$D$52="y",C15+Dimensions!$D$53,C15+LOOKUP(110-B16,'Tower Mass'!$A$8:$A$124,'Tower Mass'!$AC$8:$AC$124))</f>
        <v>67905476.68223016</v>
      </c>
      <c r="I15" s="143">
        <f t="shared" si="14"/>
        <v>17.79603666969379</v>
      </c>
      <c r="J15" s="145">
        <f t="shared" si="15"/>
        <v>10752795602.688356</v>
      </c>
      <c r="K15" s="145">
        <f t="shared" si="6"/>
        <v>420395184.3890419</v>
      </c>
      <c r="L15" s="145">
        <f>IF(Dimensions!$D$63="y",Dimensions!$D$64,LOOKUP(110-B16,'Tower Mass'!$A$8:$A$124,'Tower Mass'!$AK$8:$AK$124))</f>
        <v>0</v>
      </c>
      <c r="M15" s="145">
        <f>IF(Dimensions!$D$57="y",Dimensions!$D$61,LOOKUP(110-B16,'Tower Mass'!$A$8:$A$124,'Tower Mass'!$AO$8:$AO$124))</f>
        <v>858447559.8416843</v>
      </c>
      <c r="N15" s="145">
        <f t="shared" si="7"/>
        <v>9894348042.846672</v>
      </c>
      <c r="O15" s="142">
        <f>IF(Dimensions!$D$66="y",((H15-C15)*(Dimensions!$D$67/100))+(H15*Dimensions!$D$68/100),0)</f>
        <v>704604.4382947235</v>
      </c>
      <c r="P15" s="142">
        <f t="shared" si="0"/>
        <v>67200872.24393544</v>
      </c>
      <c r="Q15" s="143">
        <f t="shared" si="1"/>
        <v>17.0708909569709</v>
      </c>
      <c r="R15" s="144">
        <f t="shared" si="2"/>
        <v>3.763656585909191</v>
      </c>
      <c r="S15" s="138">
        <f t="shared" si="8"/>
      </c>
      <c r="U15" s="138">
        <f t="shared" si="18"/>
        <v>824972853.9405231</v>
      </c>
      <c r="V15" s="140">
        <f t="shared" si="4"/>
        <v>0.005623871865510124</v>
      </c>
      <c r="W15" s="140">
        <f t="shared" si="16"/>
        <v>0.08804592216894111</v>
      </c>
      <c r="Y15" s="140">
        <f>(Q15*Q15-F15*F15)/(2*Dimensions!$D$6-20000000000/C15)</f>
        <v>0.17641820885748505</v>
      </c>
      <c r="Z15" s="140">
        <f t="shared" si="5"/>
        <v>0.00972327037710627</v>
      </c>
      <c r="AA15" s="140">
        <f t="shared" si="17"/>
        <v>0.10881811436909077</v>
      </c>
    </row>
    <row r="16" spans="1:27" ht="10.5">
      <c r="A16" s="138">
        <f t="shared" si="9"/>
        <v>12</v>
      </c>
      <c r="B16" s="138">
        <f t="shared" si="10"/>
        <v>85</v>
      </c>
      <c r="C16" s="142">
        <f t="shared" si="11"/>
        <v>67200872.24393544</v>
      </c>
      <c r="D16" s="143">
        <f t="shared" si="12"/>
        <v>17.0708909569709</v>
      </c>
      <c r="E16" s="144">
        <f>(F16-D16)/Dimensions!$D$6</f>
        <v>0.2047067645100366</v>
      </c>
      <c r="F16" s="143">
        <f>SQRT(2*Dimensions!$D$6*Dimensions!$D$20+(D16*D16))</f>
        <v>19.07837854915325</v>
      </c>
      <c r="G16" s="145">
        <f t="shared" si="13"/>
        <v>12230038884.625572</v>
      </c>
      <c r="H16" s="142">
        <f>IF(Dimensions!$D$52="y",C16+Dimensions!$D$53,C16+LOOKUP(110-B17,'Tower Mass'!$A$8:$A$124,'Tower Mass'!$AC$8:$AC$124))</f>
        <v>69767774.36237435</v>
      </c>
      <c r="I16" s="143">
        <f t="shared" si="14"/>
        <v>18.376445159966455</v>
      </c>
      <c r="J16" s="145">
        <f t="shared" si="15"/>
        <v>11780070213.438232</v>
      </c>
      <c r="K16" s="145">
        <f t="shared" si="6"/>
        <v>449968671.1873398</v>
      </c>
      <c r="L16" s="145">
        <f>IF(Dimensions!$D$63="y",Dimensions!$D$64,LOOKUP(110-B17,'Tower Mass'!$A$8:$A$124,'Tower Mass'!$AK$8:$AK$124))</f>
        <v>0</v>
      </c>
      <c r="M16" s="145">
        <f>IF(Dimensions!$D$57="y",Dimensions!$D$61,LOOKUP(110-B17,'Tower Mass'!$A$8:$A$124,'Tower Mass'!$AO$8:$AO$124))</f>
        <v>867579980.6910638</v>
      </c>
      <c r="N16" s="145">
        <f t="shared" si="7"/>
        <v>10912490232.74717</v>
      </c>
      <c r="O16" s="142">
        <f>IF(Dimensions!$D$66="y",((H16-C16)*(Dimensions!$D$67/100))+(H16*Dimensions!$D$68/100),0)</f>
        <v>723346.7648081327</v>
      </c>
      <c r="P16" s="142">
        <f t="shared" si="0"/>
        <v>69044427.59756622</v>
      </c>
      <c r="Q16" s="143">
        <f t="shared" si="1"/>
        <v>17.686809467325794</v>
      </c>
      <c r="R16" s="144">
        <f t="shared" si="2"/>
        <v>3.9683633504192275</v>
      </c>
      <c r="S16" s="138">
        <f t="shared" si="8"/>
      </c>
      <c r="U16" s="138">
        <f t="shared" si="18"/>
        <v>883382055.268877</v>
      </c>
      <c r="V16" s="140">
        <f t="shared" si="4"/>
        <v>0.005439928660513179</v>
      </c>
      <c r="W16" s="140">
        <f t="shared" si="16"/>
        <v>0.09348585082945429</v>
      </c>
      <c r="Y16" s="140">
        <f>(Q16*Q16-F16*F16)/(2*Dimensions!$D$6-20000000000/C16)</f>
        <v>0.18403220179560686</v>
      </c>
      <c r="Z16" s="140">
        <f t="shared" si="5"/>
        <v>0.009826889226596342</v>
      </c>
      <c r="AA16" s="140">
        <f t="shared" si="17"/>
        <v>0.11864500359568711</v>
      </c>
    </row>
    <row r="17" spans="1:27" ht="10.5">
      <c r="A17" s="138">
        <f t="shared" si="9"/>
        <v>13</v>
      </c>
      <c r="B17" s="138">
        <f t="shared" si="10"/>
        <v>84</v>
      </c>
      <c r="C17" s="142">
        <f t="shared" si="11"/>
        <v>69044427.59756622</v>
      </c>
      <c r="D17" s="143">
        <f t="shared" si="12"/>
        <v>17.686809467325794</v>
      </c>
      <c r="E17" s="144">
        <f>(F17-D17)/Dimensions!$D$6</f>
        <v>0.19829453799759894</v>
      </c>
      <c r="F17" s="143">
        <f>SQRT(2*Dimensions!$D$6*Dimensions!$D$20+(D17*D17))</f>
        <v>19.631414598379948</v>
      </c>
      <c r="G17" s="145">
        <f t="shared" si="13"/>
        <v>13304600180.200686</v>
      </c>
      <c r="H17" s="142">
        <f>IF(Dimensions!$D$52="y",C17+Dimensions!$D$53,C17+LOOKUP(110-B18,'Tower Mass'!$A$8:$A$124,'Tower Mass'!$AC$8:$AC$124))</f>
        <v>71623264.68720184</v>
      </c>
      <c r="I17" s="143">
        <f t="shared" si="14"/>
        <v>18.92457415611004</v>
      </c>
      <c r="J17" s="145">
        <f t="shared" si="15"/>
        <v>12825560352.048243</v>
      </c>
      <c r="K17" s="145">
        <f t="shared" si="6"/>
        <v>479039828.15244293</v>
      </c>
      <c r="L17" s="145">
        <f>IF(Dimensions!$D$63="y",Dimensions!$D$64,LOOKUP(110-B18,'Tower Mass'!$A$8:$A$124,'Tower Mass'!$AK$8:$AK$124))</f>
        <v>0</v>
      </c>
      <c r="M17" s="145">
        <f>IF(Dimensions!$D$57="y",Dimensions!$D$61,LOOKUP(110-B18,'Tower Mass'!$A$8:$A$124,'Tower Mass'!$AO$8:$AO$124))</f>
        <v>872219445.8284492</v>
      </c>
      <c r="N17" s="145">
        <f t="shared" si="7"/>
        <v>11953340906.219793</v>
      </c>
      <c r="O17" s="142">
        <f>IF(Dimensions!$D$66="y",((H17-C17)*(Dimensions!$D$67/100))+(H17*Dimensions!$D$68/100),0)</f>
        <v>742021.0177683748</v>
      </c>
      <c r="P17" s="142">
        <f t="shared" si="0"/>
        <v>70881243.66943347</v>
      </c>
      <c r="Q17" s="143">
        <f t="shared" si="1"/>
        <v>18.269749564047178</v>
      </c>
      <c r="R17" s="144">
        <f t="shared" si="2"/>
        <v>4.166657888416826</v>
      </c>
      <c r="S17" s="138">
        <f t="shared" si="8"/>
      </c>
      <c r="U17" s="138">
        <f t="shared" si="18"/>
        <v>940831550.0973988</v>
      </c>
      <c r="V17" s="140">
        <f t="shared" si="4"/>
        <v>0.005276882766526408</v>
      </c>
      <c r="W17" s="140">
        <f t="shared" si="16"/>
        <v>0.0987627335959807</v>
      </c>
      <c r="Y17" s="140">
        <f>(Q17*Q17-F17*F17)/(2*Dimensions!$D$6-20000000000/C17)</f>
        <v>0.19110418280356703</v>
      </c>
      <c r="Z17" s="140">
        <f t="shared" si="5"/>
        <v>0.009913073894716925</v>
      </c>
      <c r="AA17" s="140">
        <f t="shared" si="17"/>
        <v>0.12855807749040404</v>
      </c>
    </row>
    <row r="18" spans="1:27" ht="10.5">
      <c r="A18" s="138">
        <f t="shared" si="9"/>
        <v>14</v>
      </c>
      <c r="B18" s="138">
        <f t="shared" si="10"/>
        <v>83</v>
      </c>
      <c r="C18" s="142">
        <f t="shared" si="11"/>
        <v>70881243.66943347</v>
      </c>
      <c r="D18" s="143">
        <f t="shared" si="12"/>
        <v>18.269749564047178</v>
      </c>
      <c r="E18" s="144">
        <f>(F18-D18)/Dimensions!$D$6</f>
        <v>0.19256818043269258</v>
      </c>
      <c r="F18" s="143">
        <f>SQRT(2*Dimensions!$D$6*Dimensions!$D$20+(D18*D18))</f>
        <v>20.158198310687443</v>
      </c>
      <c r="G18" s="145">
        <f t="shared" si="13"/>
        <v>14401401556.05083</v>
      </c>
      <c r="H18" s="142">
        <f>IF(Dimensions!$D$52="y",C18+Dimensions!$D$53,C18+LOOKUP(110-B19,'Tower Mass'!$A$8:$A$124,'Tower Mass'!$AC$8:$AC$124))</f>
        <v>73472015.67825201</v>
      </c>
      <c r="I18" s="143">
        <f t="shared" si="14"/>
        <v>19.447379430200392</v>
      </c>
      <c r="J18" s="145">
        <f t="shared" si="15"/>
        <v>13893578983.13323</v>
      </c>
      <c r="K18" s="145">
        <f t="shared" si="6"/>
        <v>507822572.91760063</v>
      </c>
      <c r="L18" s="145">
        <f>IF(Dimensions!$D$63="y",Dimensions!$D$64,LOOKUP(110-B19,'Tower Mass'!$A$8:$A$124,'Tower Mass'!$AK$8:$AK$124))</f>
        <v>0</v>
      </c>
      <c r="M18" s="145">
        <f>IF(Dimensions!$D$57="y",Dimensions!$D$61,LOOKUP(110-B19,'Tower Mass'!$A$8:$A$124,'Tower Mass'!$AO$8:$AO$124))</f>
        <v>881648845.242811</v>
      </c>
      <c r="N18" s="145">
        <f t="shared" si="7"/>
        <v>13011930137.890419</v>
      </c>
      <c r="O18" s="142">
        <f>IF(Dimensions!$D$66="y",((H18-C18)*(Dimensions!$D$67/100))+(H18*Dimensions!$D$68/100),0)</f>
        <v>760627.8768707055</v>
      </c>
      <c r="P18" s="142">
        <f t="shared" si="0"/>
        <v>72711387.8013813</v>
      </c>
      <c r="Q18" s="143">
        <f t="shared" si="1"/>
        <v>18.820228063309237</v>
      </c>
      <c r="R18" s="144">
        <f t="shared" si="2"/>
        <v>4.359226068849519</v>
      </c>
      <c r="S18" s="138">
        <f t="shared" si="8"/>
      </c>
      <c r="U18" s="138">
        <f t="shared" si="18"/>
        <v>997738293.8832588</v>
      </c>
      <c r="V18" s="140">
        <f t="shared" si="4"/>
        <v>0.005131043466993941</v>
      </c>
      <c r="W18" s="140">
        <f t="shared" si="16"/>
        <v>0.10389377706297465</v>
      </c>
      <c r="Y18" s="140">
        <f>(Q18*Q18-F18*F18)/(2*Dimensions!$D$6-20000000000/C18)</f>
        <v>0.1986372680417612</v>
      </c>
      <c r="Z18" s="140">
        <f t="shared" si="5"/>
        <v>0.010030772399852807</v>
      </c>
      <c r="AA18" s="140">
        <f t="shared" si="17"/>
        <v>0.13858884989025685</v>
      </c>
    </row>
    <row r="19" spans="1:27" ht="10.5">
      <c r="A19" s="138">
        <f t="shared" si="9"/>
        <v>15</v>
      </c>
      <c r="B19" s="138">
        <f t="shared" si="10"/>
        <v>82</v>
      </c>
      <c r="C19" s="142">
        <f t="shared" si="11"/>
        <v>72711387.8013813</v>
      </c>
      <c r="D19" s="143">
        <f t="shared" si="12"/>
        <v>18.820228063309237</v>
      </c>
      <c r="E19" s="144">
        <f>(F19-D19)/Dimensions!$D$6</f>
        <v>0.18744310960369842</v>
      </c>
      <c r="F19" s="143">
        <f>SQRT(2*Dimensions!$D$6*Dimensions!$D$20+(D19*D19))</f>
        <v>20.658417034104346</v>
      </c>
      <c r="G19" s="145">
        <f t="shared" si="13"/>
        <v>15515526551.907642</v>
      </c>
      <c r="H19" s="142">
        <f>IF(Dimensions!$D$52="y",C19+Dimensions!$D$53,C19+LOOKUP(110-B20,'Tower Mass'!$A$8:$A$124,'Tower Mass'!$AC$8:$AC$124))</f>
        <v>75314094.78139655</v>
      </c>
      <c r="I19" s="143">
        <f t="shared" si="14"/>
        <v>19.944502774538545</v>
      </c>
      <c r="J19" s="145">
        <f t="shared" si="15"/>
        <v>14979340471.832272</v>
      </c>
      <c r="K19" s="145">
        <f t="shared" si="6"/>
        <v>536186080.0753708</v>
      </c>
      <c r="L19" s="145">
        <f>IF(Dimensions!$D$63="y",Dimensions!$D$64,LOOKUP(110-B20,'Tower Mass'!$A$8:$A$124,'Tower Mass'!$AK$8:$AK$124))</f>
        <v>0</v>
      </c>
      <c r="M19" s="145">
        <f>IF(Dimensions!$D$57="y",Dimensions!$D$61,LOOKUP(110-B20,'Tower Mass'!$A$8:$A$124,'Tower Mass'!$AO$8:$AO$124))</f>
        <v>886440415.0539131</v>
      </c>
      <c r="N19" s="145">
        <f t="shared" si="7"/>
        <v>14092900056.778358</v>
      </c>
      <c r="O19" s="142">
        <f>IF(Dimensions!$D$66="y",((H19-C19)*(Dimensions!$D$67/100))+(H19*Dimensions!$D$68/100),0)</f>
        <v>779168.0176141179</v>
      </c>
      <c r="P19" s="142">
        <f t="shared" si="0"/>
        <v>74534926.76378244</v>
      </c>
      <c r="Q19" s="143">
        <f t="shared" si="1"/>
        <v>19.34537058359987</v>
      </c>
      <c r="R19" s="144">
        <f t="shared" si="2"/>
        <v>4.546669178453217</v>
      </c>
      <c r="S19" s="138">
        <f t="shared" si="8"/>
      </c>
      <c r="U19" s="138">
        <f t="shared" si="18"/>
        <v>1053842623.8501358</v>
      </c>
      <c r="V19" s="140">
        <f t="shared" si="4"/>
        <v>0.004999526592614128</v>
      </c>
      <c r="W19" s="140">
        <f t="shared" si="16"/>
        <v>0.10889330365558877</v>
      </c>
      <c r="Y19" s="140">
        <f>(Q19*Q19-F19*F19)/(2*Dimensions!$D$6-20000000000/C19)</f>
        <v>0.20562730033160412</v>
      </c>
      <c r="Z19" s="140">
        <f t="shared" si="5"/>
        <v>0.010128695241657645</v>
      </c>
      <c r="AA19" s="140">
        <f t="shared" si="17"/>
        <v>0.14871754513191449</v>
      </c>
    </row>
    <row r="20" spans="1:27" ht="10.5">
      <c r="A20" s="138">
        <f t="shared" si="9"/>
        <v>16</v>
      </c>
      <c r="B20" s="138">
        <f t="shared" si="10"/>
        <v>81</v>
      </c>
      <c r="C20" s="142">
        <f t="shared" si="11"/>
        <v>74534926.76378244</v>
      </c>
      <c r="D20" s="143">
        <f t="shared" si="12"/>
        <v>19.34537058359987</v>
      </c>
      <c r="E20" s="144">
        <f>(F20-D20)/Dimensions!$D$6</f>
        <v>0.18279136784514952</v>
      </c>
      <c r="F20" s="143">
        <f>SQRT(2*Dimensions!$D$6*Dimensions!$D$20+(D20*D20))</f>
        <v>21.137941551078505</v>
      </c>
      <c r="G20" s="145">
        <f t="shared" si="13"/>
        <v>16651571203.472607</v>
      </c>
      <c r="H20" s="142">
        <f>IF(Dimensions!$D$52="y",C20+Dimensions!$D$53,C20+LOOKUP(110-B21,'Tower Mass'!$A$8:$A$124,'Tower Mass'!$AC$8:$AC$124))</f>
        <v>77149568.7149944</v>
      </c>
      <c r="I20" s="143">
        <f t="shared" si="14"/>
        <v>20.42156491200891</v>
      </c>
      <c r="J20" s="145">
        <f t="shared" si="15"/>
        <v>16087240159.924845</v>
      </c>
      <c r="K20" s="145">
        <f t="shared" si="6"/>
        <v>564331043.5477619</v>
      </c>
      <c r="L20" s="145">
        <f>IF(Dimensions!$D$63="y",Dimensions!$D$64,LOOKUP(110-B21,'Tower Mass'!$A$8:$A$124,'Tower Mass'!$AK$8:$AK$124))</f>
        <v>0</v>
      </c>
      <c r="M20" s="145">
        <f>IF(Dimensions!$D$57="y",Dimensions!$D$61,LOOKUP(110-B21,'Tower Mass'!$A$8:$A$124,'Tower Mass'!$AO$8:$AO$124))</f>
        <v>896181518.5160441</v>
      </c>
      <c r="N20" s="145">
        <f t="shared" si="7"/>
        <v>15191058641.4088</v>
      </c>
      <c r="O20" s="142">
        <f>IF(Dimensions!$D$66="y",((H20-C20)*(Dimensions!$D$67/100))+(H20*Dimensions!$D$68/100),0)</f>
        <v>797642.1066620636</v>
      </c>
      <c r="P20" s="142">
        <f t="shared" si="0"/>
        <v>76351926.60833234</v>
      </c>
      <c r="Q20" s="143">
        <f t="shared" si="1"/>
        <v>19.844596217730224</v>
      </c>
      <c r="R20" s="144">
        <f t="shared" si="2"/>
        <v>4.729460546298367</v>
      </c>
      <c r="S20" s="138">
        <f t="shared" si="8"/>
      </c>
      <c r="U20" s="138">
        <f t="shared" si="18"/>
        <v>1109536593.0012913</v>
      </c>
      <c r="V20" s="140">
        <f t="shared" si="4"/>
        <v>0.00488012726611131</v>
      </c>
      <c r="W20" s="140">
        <f t="shared" si="16"/>
        <v>0.11377343092170009</v>
      </c>
      <c r="Y20" s="140">
        <f>(Q20*Q20-F20*F20)/(2*Dimensions!$D$6-20000000000/C20)</f>
        <v>0.21311174816755038</v>
      </c>
      <c r="Z20" s="140">
        <f t="shared" si="5"/>
        <v>0.010255740084730472</v>
      </c>
      <c r="AA20" s="140">
        <f t="shared" si="17"/>
        <v>0.15897328521664494</v>
      </c>
    </row>
    <row r="21" spans="1:27" ht="10.5">
      <c r="A21" s="138">
        <f t="shared" si="9"/>
        <v>17</v>
      </c>
      <c r="B21" s="138">
        <f t="shared" si="10"/>
        <v>80</v>
      </c>
      <c r="C21" s="142">
        <f t="shared" si="11"/>
        <v>76351926.60833234</v>
      </c>
      <c r="D21" s="143">
        <f t="shared" si="12"/>
        <v>19.844596217730224</v>
      </c>
      <c r="E21" s="144">
        <f>(F21-D21)/Dimensions!$D$6</f>
        <v>0.17856985776383438</v>
      </c>
      <c r="F21" s="143">
        <f>SQRT(2*Dimensions!$D$6*Dimensions!$D$20+(D21*D21))</f>
        <v>21.59576831336993</v>
      </c>
      <c r="G21" s="145">
        <f t="shared" si="13"/>
        <v>17804399218.391914</v>
      </c>
      <c r="H21" s="142">
        <f>IF(Dimensions!$D$52="y",C21+Dimensions!$D$53,C21+LOOKUP(110-B22,'Tower Mass'!$A$8:$A$124,'Tower Mass'!$AC$8:$AC$124))</f>
        <v>78978503.530741</v>
      </c>
      <c r="I21" s="143">
        <f t="shared" si="14"/>
        <v>20.877560900747792</v>
      </c>
      <c r="J21" s="145">
        <f t="shared" si="15"/>
        <v>17212280831.568127</v>
      </c>
      <c r="K21" s="145">
        <f t="shared" si="6"/>
        <v>592118386.8237877</v>
      </c>
      <c r="L21" s="145">
        <f>IF(Dimensions!$D$63="y",Dimensions!$D$64,LOOKUP(110-B22,'Tower Mass'!$A$8:$A$124,'Tower Mass'!$AK$8:$AK$124))</f>
        <v>0</v>
      </c>
      <c r="M21" s="145">
        <f>IF(Dimensions!$D$57="y",Dimensions!$D$61,LOOKUP(110-B22,'Tower Mass'!$A$8:$A$124,'Tower Mass'!$AO$8:$AO$124))</f>
        <v>901132797.6238673</v>
      </c>
      <c r="N21" s="145">
        <f t="shared" si="7"/>
        <v>16311148033.94426</v>
      </c>
      <c r="O21" s="142">
        <f>IF(Dimensions!$D$66="y",((H21-C21)*(Dimensions!$D$67/100))+(H21*Dimensions!$D$68/100),0)</f>
        <v>816050.8045314967</v>
      </c>
      <c r="P21" s="142">
        <f t="shared" si="0"/>
        <v>78162452.7262095</v>
      </c>
      <c r="Q21" s="143">
        <f t="shared" si="1"/>
        <v>20.323701710385986</v>
      </c>
      <c r="R21" s="144">
        <f t="shared" si="2"/>
        <v>4.908030404062202</v>
      </c>
      <c r="S21" s="138">
        <f t="shared" si="8"/>
      </c>
      <c r="U21" s="138">
        <f t="shared" si="18"/>
        <v>1164544776.1971588</v>
      </c>
      <c r="V21" s="140">
        <f t="shared" si="4"/>
        <v>0.004771052684746712</v>
      </c>
      <c r="W21" s="140">
        <f t="shared" si="16"/>
        <v>0.1185444836064468</v>
      </c>
      <c r="Y21" s="140">
        <f>(Q21*Q21-F21*F21)/(2*Dimensions!$D$6-20000000000/C21)</f>
        <v>0.22004704064429767</v>
      </c>
      <c r="Z21" s="140">
        <f t="shared" si="5"/>
        <v>0.010361657290154508</v>
      </c>
      <c r="AA21" s="140">
        <f t="shared" si="17"/>
        <v>0.16933494250679945</v>
      </c>
    </row>
    <row r="22" spans="1:27" ht="10.5">
      <c r="A22" s="138">
        <f t="shared" si="9"/>
        <v>18</v>
      </c>
      <c r="B22" s="138">
        <f t="shared" si="10"/>
        <v>79</v>
      </c>
      <c r="C22" s="142">
        <f t="shared" si="11"/>
        <v>78162452.7262095</v>
      </c>
      <c r="D22" s="143">
        <f t="shared" si="12"/>
        <v>20.323701710385986</v>
      </c>
      <c r="E22" s="144">
        <f>(F22-D22)/Dimensions!$D$6</f>
        <v>0.17469089666439436</v>
      </c>
      <c r="F22" s="143">
        <f>SQRT(2*Dimensions!$D$6*Dimensions!$D$20+(D22*D22))</f>
        <v>22.03683419215987</v>
      </c>
      <c r="G22" s="145">
        <f t="shared" si="13"/>
        <v>18978705701.17285</v>
      </c>
      <c r="H22" s="142">
        <f>IF(Dimensions!$D$52="y",C22+Dimensions!$D$53,C22+LOOKUP(110-B23,'Tower Mass'!$A$8:$A$124,'Tower Mass'!$AC$8:$AC$124))</f>
        <v>80800964.6198149</v>
      </c>
      <c r="I22" s="143">
        <f t="shared" si="14"/>
        <v>21.31723326428722</v>
      </c>
      <c r="J22" s="145">
        <f t="shared" si="15"/>
        <v>18358966308.785686</v>
      </c>
      <c r="K22" s="145">
        <f t="shared" si="6"/>
        <v>619739392.3871651</v>
      </c>
      <c r="L22" s="145">
        <f>IF(Dimensions!$D$63="y",Dimensions!$D$64,LOOKUP(110-B23,'Tower Mass'!$A$8:$A$124,'Tower Mass'!$AK$8:$AK$124))</f>
        <v>0</v>
      </c>
      <c r="M22" s="145">
        <f>IF(Dimensions!$D$57="y",Dimensions!$D$61,LOOKUP(110-B23,'Tower Mass'!$A$8:$A$124,'Tower Mass'!$AO$8:$AO$124))</f>
        <v>911201320.5023465</v>
      </c>
      <c r="N22" s="145">
        <f t="shared" si="7"/>
        <v>17447764988.28334</v>
      </c>
      <c r="O22" s="142">
        <f>IF(Dimensions!$D$66="y",((H22-C22)*(Dimensions!$D$67/100))+(H22*Dimensions!$D$68/100),0)</f>
        <v>834394.765134203</v>
      </c>
      <c r="P22" s="142">
        <f t="shared" si="0"/>
        <v>79966569.8546807</v>
      </c>
      <c r="Q22" s="143">
        <f t="shared" si="1"/>
        <v>20.78148731860314</v>
      </c>
      <c r="R22" s="144">
        <f t="shared" si="2"/>
        <v>5.082721300726596</v>
      </c>
      <c r="S22" s="138">
        <f t="shared" si="8"/>
      </c>
      <c r="U22" s="138">
        <f t="shared" si="18"/>
        <v>1219241529.3722076</v>
      </c>
      <c r="V22" s="140">
        <f t="shared" si="4"/>
        <v>0.004670897712553424</v>
      </c>
      <c r="W22" s="140">
        <f t="shared" si="16"/>
        <v>0.12321538131900023</v>
      </c>
      <c r="Y22" s="140">
        <f>(Q22*Q22-F22*F22)/(2*Dimensions!$D$6-20000000000/C22)</f>
        <v>0.22750752704461974</v>
      </c>
      <c r="Z22" s="140">
        <f t="shared" si="5"/>
        <v>0.010495325601140918</v>
      </c>
      <c r="AA22" s="140">
        <f t="shared" si="17"/>
        <v>0.17983026810794037</v>
      </c>
    </row>
    <row r="23" spans="1:27" ht="10.5">
      <c r="A23" s="138">
        <f t="shared" si="9"/>
        <v>19</v>
      </c>
      <c r="B23" s="138">
        <f t="shared" si="10"/>
        <v>78</v>
      </c>
      <c r="C23" s="142">
        <f t="shared" si="11"/>
        <v>79966569.8546807</v>
      </c>
      <c r="D23" s="143">
        <f t="shared" si="12"/>
        <v>20.78148731860314</v>
      </c>
      <c r="E23" s="144">
        <f>(F23-D23)/Dimensions!$D$6</f>
        <v>0.17113302159441124</v>
      </c>
      <c r="F23" s="143">
        <f>SQRT(2*Dimensions!$D$6*Dimensions!$D$20+(D23*D23))</f>
        <v>22.459728964821974</v>
      </c>
      <c r="G23" s="145">
        <f t="shared" si="13"/>
        <v>20169145265.28636</v>
      </c>
      <c r="H23" s="142">
        <f>IF(Dimensions!$D$52="y",C23+Dimensions!$D$53,C23+LOOKUP(110-B24,'Tower Mass'!$A$8:$A$124,'Tower Mass'!$AC$8:$AC$124))</f>
        <v>82617016.71948281</v>
      </c>
      <c r="I23" s="143">
        <f t="shared" si="14"/>
        <v>21.739195585830092</v>
      </c>
      <c r="J23" s="145">
        <f t="shared" si="15"/>
        <v>19522096388.955894</v>
      </c>
      <c r="K23" s="145">
        <f t="shared" si="6"/>
        <v>647048876.3304672</v>
      </c>
      <c r="L23" s="145">
        <f>IF(Dimensions!$D$63="y",Dimensions!$D$64,LOOKUP(110-B24,'Tower Mass'!$A$8:$A$124,'Tower Mass'!$AK$8:$AK$124))</f>
        <v>0</v>
      </c>
      <c r="M23" s="145">
        <f>IF(Dimensions!$D$57="y",Dimensions!$D$61,LOOKUP(110-B24,'Tower Mass'!$A$8:$A$124,'Tower Mass'!$AO$8:$AO$124))</f>
        <v>916320429.0444943</v>
      </c>
      <c r="N23" s="145">
        <f t="shared" si="7"/>
        <v>18605775959.9114</v>
      </c>
      <c r="O23" s="142">
        <f>IF(Dimensions!$D$66="y",((H23-C23)*(Dimensions!$D$67/100))+(H23*Dimensions!$D$68/100),0)</f>
        <v>852674.6358428492</v>
      </c>
      <c r="P23" s="142">
        <f t="shared" si="0"/>
        <v>81764342.08363996</v>
      </c>
      <c r="Q23" s="143">
        <f t="shared" si="1"/>
        <v>21.22287113608676</v>
      </c>
      <c r="R23" s="144">
        <f t="shared" si="2"/>
        <v>5.253854322321007</v>
      </c>
      <c r="S23" s="138">
        <f t="shared" si="8"/>
      </c>
      <c r="U23" s="138">
        <f t="shared" si="18"/>
        <v>1273339696.5879707</v>
      </c>
      <c r="V23" s="140">
        <f t="shared" si="4"/>
        <v>0.004578482039484628</v>
      </c>
      <c r="W23" s="140">
        <f t="shared" si="16"/>
        <v>0.12779386335848486</v>
      </c>
      <c r="Y23" s="140">
        <f>(Q23*Q23-F23*F23)/(2*Dimensions!$D$6-20000000000/C23)</f>
        <v>0.23440878825607517</v>
      </c>
      <c r="Z23" s="140">
        <f t="shared" si="5"/>
        <v>0.01060699058355785</v>
      </c>
      <c r="AA23" s="140">
        <f t="shared" si="17"/>
        <v>0.19043725869149822</v>
      </c>
    </row>
    <row r="24" spans="1:27" ht="10.5">
      <c r="A24" s="138">
        <f t="shared" si="9"/>
        <v>20</v>
      </c>
      <c r="B24" s="138">
        <f t="shared" si="10"/>
        <v>77</v>
      </c>
      <c r="C24" s="142">
        <f t="shared" si="11"/>
        <v>81764342.08363996</v>
      </c>
      <c r="D24" s="143">
        <f t="shared" si="12"/>
        <v>21.22287113608676</v>
      </c>
      <c r="E24" s="144">
        <f>(F24-D24)/Dimensions!$D$6</f>
        <v>0.16783236255541406</v>
      </c>
      <c r="F24" s="143">
        <f>SQRT(2*Dimensions!$D$6*Dimensions!$D$20+(D24*D24))</f>
        <v>22.86874437434081</v>
      </c>
      <c r="G24" s="145">
        <f t="shared" si="13"/>
        <v>21380536113.604404</v>
      </c>
      <c r="H24" s="142">
        <f>IF(Dimensions!$D$52="y",C24+Dimensions!$D$53,C24+LOOKUP(110-B25,'Tower Mass'!$A$8:$A$124,'Tower Mass'!$AC$8:$AC$124))</f>
        <v>87491132.481805</v>
      </c>
      <c r="I24" s="143">
        <f t="shared" si="14"/>
        <v>21.371855467018673</v>
      </c>
      <c r="J24" s="145">
        <f t="shared" si="15"/>
        <v>19981058870.028046</v>
      </c>
      <c r="K24" s="145">
        <f t="shared" si="6"/>
        <v>1399477243.5763588</v>
      </c>
      <c r="L24" s="145">
        <f>IF(Dimensions!$D$63="y",Dimensions!$D$64,LOOKUP(110-B25,'Tower Mass'!$A$8:$A$124,'Tower Mass'!$AK$8:$AK$124))</f>
        <v>0</v>
      </c>
      <c r="M24" s="145">
        <f>IF(Dimensions!$D$57="y",Dimensions!$D$61,LOOKUP(110-B25,'Tower Mass'!$A$8:$A$124,'Tower Mass'!$AO$8:$AO$124))</f>
        <v>2119902106.2283635</v>
      </c>
      <c r="N24" s="145">
        <f t="shared" si="7"/>
        <v>17861156763.799683</v>
      </c>
      <c r="O24" s="142">
        <f>IF(Dimensions!$D$66="y",((H24-C24)*(Dimensions!$D$67/100))+(H24*Dimensions!$D$68/100),0)</f>
        <v>932179.2287997004</v>
      </c>
      <c r="P24" s="142">
        <f t="shared" si="0"/>
        <v>86558953.2530053</v>
      </c>
      <c r="Q24" s="143">
        <f t="shared" si="1"/>
        <v>20.20634528438019</v>
      </c>
      <c r="R24" s="144">
        <f t="shared" si="2"/>
        <v>5.421686684876421</v>
      </c>
      <c r="S24" s="138">
        <f t="shared" si="8"/>
      </c>
      <c r="U24" s="138">
        <f t="shared" si="18"/>
        <v>2707350771.283222</v>
      </c>
      <c r="V24" s="140">
        <f t="shared" si="4"/>
        <v>0.004643054758204268</v>
      </c>
      <c r="W24" s="140">
        <f t="shared" si="16"/>
        <v>0.13243691811668912</v>
      </c>
      <c r="Y24" s="140">
        <f>(Q24*Q24-F24*F24)/(2*Dimensions!$D$6-20000000000/C24)</f>
        <v>0.5097204613879134</v>
      </c>
      <c r="Z24" s="140">
        <f t="shared" si="5"/>
        <v>0.023043108059822816</v>
      </c>
      <c r="AA24" s="140">
        <f t="shared" si="17"/>
        <v>0.21348036675132104</v>
      </c>
    </row>
    <row r="25" spans="1:27" ht="10.5">
      <c r="A25" s="138">
        <f t="shared" si="9"/>
        <v>21</v>
      </c>
      <c r="B25" s="138">
        <f t="shared" si="10"/>
        <v>76</v>
      </c>
      <c r="C25" s="142">
        <f t="shared" si="11"/>
        <v>86558953.2530053</v>
      </c>
      <c r="D25" s="143">
        <f t="shared" si="12"/>
        <v>20.20634528438019</v>
      </c>
      <c r="E25" s="144">
        <f>(F25-D25)/Dimensions!$D$6</f>
        <v>0.1756259924736608</v>
      </c>
      <c r="F25" s="143">
        <f>SQRT(2*Dimensions!$D$6*Dimensions!$D$20+(D25*D25))</f>
        <v>21.928647923472017</v>
      </c>
      <c r="G25" s="145">
        <f t="shared" si="13"/>
        <v>20811611484.93827</v>
      </c>
      <c r="H25" s="142">
        <f>IF(Dimensions!$D$52="y",C25+Dimensions!$D$53,C25+LOOKUP(110-B26,'Tower Mass'!$A$8:$A$124,'Tower Mass'!$AC$8:$AC$124))</f>
        <v>92297678.62236704</v>
      </c>
      <c r="I25" s="143">
        <f t="shared" si="14"/>
        <v>20.565206393494744</v>
      </c>
      <c r="J25" s="145">
        <f t="shared" si="15"/>
        <v>19517623113.956936</v>
      </c>
      <c r="K25" s="145">
        <f t="shared" si="6"/>
        <v>1293988370.9813347</v>
      </c>
      <c r="L25" s="145">
        <f>IF(Dimensions!$D$63="y",Dimensions!$D$64,LOOKUP(110-B26,'Tower Mass'!$A$8:$A$124,'Tower Mass'!$AK$8:$AK$124))</f>
        <v>0</v>
      </c>
      <c r="M25" s="145">
        <f>IF(Dimensions!$D$57="y",Dimensions!$D$61,LOOKUP(110-B26,'Tower Mass'!$A$8:$A$124,'Tower Mass'!$AO$8:$AO$124))</f>
        <v>2144268797.1045516</v>
      </c>
      <c r="N25" s="145">
        <f t="shared" si="7"/>
        <v>17373354316.852383</v>
      </c>
      <c r="O25" s="142">
        <f>IF(Dimensions!$D$66="y",((H25-C25)*(Dimensions!$D$67/100))+(H25*Dimensions!$D$68/100),0)</f>
        <v>980364.0399172878</v>
      </c>
      <c r="P25" s="142">
        <f t="shared" si="0"/>
        <v>91317314.58244975</v>
      </c>
      <c r="Q25" s="143">
        <f t="shared" si="1"/>
        <v>19.40266776055132</v>
      </c>
      <c r="R25" s="144">
        <f t="shared" si="2"/>
        <v>5.597312677350081</v>
      </c>
      <c r="S25" s="138">
        <f t="shared" si="8"/>
      </c>
      <c r="U25" s="138">
        <f t="shared" si="18"/>
        <v>2507521371.87051</v>
      </c>
      <c r="V25" s="140">
        <f t="shared" si="4"/>
        <v>0.004838945886189397</v>
      </c>
      <c r="W25" s="140">
        <f t="shared" si="16"/>
        <v>0.1372758640028785</v>
      </c>
      <c r="Y25" s="140">
        <f>(Q25*Q25-F25*F25)/(2*Dimensions!$D$6-20000000000/C25)</f>
        <v>0.49375971240643723</v>
      </c>
      <c r="Z25" s="140">
        <f t="shared" si="5"/>
        <v>0.023239111647694946</v>
      </c>
      <c r="AA25" s="140">
        <f t="shared" si="17"/>
        <v>0.23671947839901597</v>
      </c>
    </row>
    <row r="26" spans="1:27" ht="10.5">
      <c r="A26" s="138">
        <f t="shared" si="9"/>
        <v>22</v>
      </c>
      <c r="B26" s="138">
        <f t="shared" si="10"/>
        <v>75</v>
      </c>
      <c r="C26" s="142">
        <f t="shared" si="11"/>
        <v>91317314.58244975</v>
      </c>
      <c r="D26" s="143">
        <f t="shared" si="12"/>
        <v>19.40266776055132</v>
      </c>
      <c r="E26" s="144">
        <f>(F26-D26)/Dimensions!$D$6</f>
        <v>0.18229717068010706</v>
      </c>
      <c r="F26" s="143">
        <f>SQRT(2*Dimensions!$D$6*Dimensions!$D$20+(D26*D26))</f>
        <v>21.190392309401393</v>
      </c>
      <c r="G26" s="145">
        <f t="shared" si="13"/>
        <v>20502231359.312756</v>
      </c>
      <c r="H26" s="142">
        <f>IF(Dimensions!$D$52="y",C26+Dimensions!$D$53,C26+LOOKUP(110-B27,'Tower Mass'!$A$8:$A$124,'Tower Mass'!$AC$8:$AC$124))</f>
        <v>97067974.9230082</v>
      </c>
      <c r="I26" s="143">
        <f t="shared" si="14"/>
        <v>19.934996296955426</v>
      </c>
      <c r="J26" s="145">
        <f t="shared" si="15"/>
        <v>19287604507.722717</v>
      </c>
      <c r="K26" s="145">
        <f t="shared" si="6"/>
        <v>1214626851.5900383</v>
      </c>
      <c r="L26" s="145">
        <f>IF(Dimensions!$D$63="y",Dimensions!$D$64,LOOKUP(110-B27,'Tower Mass'!$A$8:$A$124,'Tower Mass'!$AK$8:$AK$124))</f>
        <v>0</v>
      </c>
      <c r="M26" s="145">
        <f>IF(Dimensions!$D$57="y",Dimensions!$D$61,LOOKUP(110-B27,'Tower Mass'!$A$8:$A$124,'Tower Mass'!$AO$8:$AO$124))</f>
        <v>2156663414.4288554</v>
      </c>
      <c r="N26" s="145">
        <f t="shared" si="7"/>
        <v>17130941093.293861</v>
      </c>
      <c r="O26" s="142">
        <f>IF(Dimensions!$D$66="y",((H26-C26)*(Dimensions!$D$67/100))+(H26*Dimensions!$D$68/100),0)</f>
        <v>1028186.3526356666</v>
      </c>
      <c r="P26" s="142">
        <f t="shared" si="0"/>
        <v>96039788.57037254</v>
      </c>
      <c r="Q26" s="143">
        <f t="shared" si="1"/>
        <v>18.78744075412749</v>
      </c>
      <c r="R26" s="144">
        <f t="shared" si="2"/>
        <v>5.779609848030188</v>
      </c>
      <c r="S26" s="138">
        <f t="shared" si="8"/>
      </c>
      <c r="U26" s="138">
        <f t="shared" si="18"/>
        <v>2357294785.0141487</v>
      </c>
      <c r="V26" s="140">
        <f t="shared" si="4"/>
        <v>0.005002772403451169</v>
      </c>
      <c r="W26" s="140">
        <f t="shared" si="16"/>
        <v>0.14227863640632968</v>
      </c>
      <c r="Y26" s="140">
        <f>(Q26*Q26-F26*F26)/(2*Dimensions!$D$6-20000000000/C26)</f>
        <v>0.48176152090249624</v>
      </c>
      <c r="Z26" s="140">
        <f t="shared" si="5"/>
        <v>0.023428910326601972</v>
      </c>
      <c r="AA26" s="140">
        <f t="shared" si="17"/>
        <v>0.26014838872561796</v>
      </c>
    </row>
    <row r="27" spans="1:27" ht="10.5">
      <c r="A27" s="138">
        <f t="shared" si="9"/>
        <v>23</v>
      </c>
      <c r="B27" s="138">
        <f t="shared" si="10"/>
        <v>74</v>
      </c>
      <c r="C27" s="142">
        <f t="shared" si="11"/>
        <v>96039788.57037254</v>
      </c>
      <c r="D27" s="143">
        <f t="shared" si="12"/>
        <v>18.78744075412749</v>
      </c>
      <c r="E27" s="144">
        <f>(F27-D27)/Dimensions!$D$6</f>
        <v>0.18774105541160852</v>
      </c>
      <c r="F27" s="143">
        <f>SQRT(2*Dimensions!$D$6*Dimensions!$D$20+(D27*D27))</f>
        <v>20.628551575179742</v>
      </c>
      <c r="G27" s="145">
        <f t="shared" si="13"/>
        <v>20434248481.535126</v>
      </c>
      <c r="H27" s="142">
        <f>IF(Dimensions!$D$52="y",C27+Dimensions!$D$53,C27+LOOKUP(110-B28,'Tower Mass'!$A$8:$A$124,'Tower Mass'!$AC$8:$AC$124))</f>
        <v>98737975.37197532</v>
      </c>
      <c r="I27" s="143">
        <f t="shared" si="14"/>
        <v>20.064840547212583</v>
      </c>
      <c r="J27" s="145">
        <f t="shared" si="15"/>
        <v>19875847123.33593</v>
      </c>
      <c r="K27" s="145">
        <f t="shared" si="6"/>
        <v>558401358.1991959</v>
      </c>
      <c r="L27" s="145">
        <f>IF(Dimensions!$D$63="y",Dimensions!$D$64,LOOKUP(110-B28,'Tower Mass'!$A$8:$A$124,'Tower Mass'!$AK$8:$AK$124))</f>
        <v>0</v>
      </c>
      <c r="M27" s="145">
        <f>IF(Dimensions!$D$57="y",Dimensions!$D$61,LOOKUP(110-B28,'Tower Mass'!$A$8:$A$124,'Tower Mass'!$AO$8:$AO$124))</f>
        <v>953830622.0463158</v>
      </c>
      <c r="N27" s="145">
        <f t="shared" si="7"/>
        <v>18922016501.289616</v>
      </c>
      <c r="O27" s="142">
        <f>IF(Dimensions!$D$66="y",((H27-C27)*(Dimensions!$D$67/100))+(H27*Dimensions!$D$68/100),0)</f>
        <v>1014361.621735781</v>
      </c>
      <c r="P27" s="142">
        <f t="shared" si="0"/>
        <v>97723613.75023954</v>
      </c>
      <c r="Q27" s="143">
        <f t="shared" si="1"/>
        <v>19.577471364258795</v>
      </c>
      <c r="R27" s="144">
        <f t="shared" si="2"/>
        <v>5.967350903441797</v>
      </c>
      <c r="S27" s="138">
        <f t="shared" si="8"/>
      </c>
      <c r="U27" s="138">
        <f t="shared" si="18"/>
        <v>1101543428.6824532</v>
      </c>
      <c r="V27" s="140">
        <f t="shared" si="4"/>
        <v>0.004974379094924551</v>
      </c>
      <c r="W27" s="140">
        <f t="shared" si="16"/>
        <v>0.14725301550125422</v>
      </c>
      <c r="Y27" s="140">
        <f>(Q27*Q27-F27*F27)/(2*Dimensions!$D$6-20000000000/C27)</f>
        <v>0.22403075408671555</v>
      </c>
      <c r="Z27" s="140">
        <f t="shared" si="5"/>
        <v>0.011010669909891257</v>
      </c>
      <c r="AA27" s="140">
        <f t="shared" si="17"/>
        <v>0.2711590586355092</v>
      </c>
    </row>
    <row r="28" spans="1:27" ht="10.5">
      <c r="A28" s="138">
        <f t="shared" si="9"/>
        <v>24</v>
      </c>
      <c r="B28" s="138">
        <f t="shared" si="10"/>
        <v>73</v>
      </c>
      <c r="C28" s="142">
        <f t="shared" si="11"/>
        <v>97723613.75023954</v>
      </c>
      <c r="D28" s="143">
        <f t="shared" si="12"/>
        <v>19.577471364258795</v>
      </c>
      <c r="E28" s="144">
        <f>(F28-D28)/Dimensions!$D$6</f>
        <v>0.18080515919593895</v>
      </c>
      <c r="F28" s="143">
        <f>SQRT(2*Dimensions!$D$6*Dimensions!$D$20+(D28*D28))</f>
        <v>21.35056427868765</v>
      </c>
      <c r="G28" s="145">
        <f t="shared" si="13"/>
        <v>22273488290.468678</v>
      </c>
      <c r="H28" s="142">
        <f>IF(Dimensions!$D$52="y",C28+Dimensions!$D$53,C28+LOOKUP(110-B29,'Tower Mass'!$A$8:$A$124,'Tower Mass'!$AC$8:$AC$124))</f>
        <v>100433735.52303903</v>
      </c>
      <c r="I28" s="143">
        <f t="shared" si="14"/>
        <v>20.7744368568419</v>
      </c>
      <c r="J28" s="145">
        <f t="shared" si="15"/>
        <v>21672456523.026886</v>
      </c>
      <c r="K28" s="145">
        <f t="shared" si="6"/>
        <v>601031767.4417915</v>
      </c>
      <c r="L28" s="145">
        <f>IF(Dimensions!$D$63="y",Dimensions!$D$64,LOOKUP(110-B29,'Tower Mass'!$A$8:$A$124,'Tower Mass'!$AK$8:$AK$124))</f>
        <v>0</v>
      </c>
      <c r="M28" s="145">
        <f>IF(Dimensions!$D$57="y",Dimensions!$D$61,LOOKUP(110-B29,'Tower Mass'!$A$8:$A$124,'Tower Mass'!$AO$8:$AO$124))</f>
        <v>959441390.4112941</v>
      </c>
      <c r="N28" s="145">
        <f t="shared" si="7"/>
        <v>20713015132.615593</v>
      </c>
      <c r="O28" s="142">
        <f>IF(Dimensions!$D$66="y",((H28-C28)*(Dimensions!$D$67/100))+(H28*Dimensions!$D$68/100),0)</f>
        <v>1031438.5729583852</v>
      </c>
      <c r="P28" s="142">
        <f t="shared" si="0"/>
        <v>99402296.95008065</v>
      </c>
      <c r="Q28" s="143">
        <f t="shared" si="1"/>
        <v>20.3093886722281</v>
      </c>
      <c r="R28" s="144">
        <f t="shared" si="2"/>
        <v>6.148156062637735</v>
      </c>
      <c r="S28" s="138">
        <f t="shared" si="8"/>
      </c>
      <c r="U28" s="138">
        <f t="shared" si="18"/>
        <v>1185845186.829464</v>
      </c>
      <c r="V28" s="140">
        <f t="shared" si="4"/>
        <v>0.004800773544695126</v>
      </c>
      <c r="W28" s="140">
        <f t="shared" si="16"/>
        <v>0.15205378904594935</v>
      </c>
      <c r="Y28" s="140">
        <f>(Q28*Q28-F28*F28)/(2*Dimensions!$D$6-20000000000/C28)</f>
        <v>0.23440354309838504</v>
      </c>
      <c r="Z28" s="140">
        <f t="shared" si="5"/>
        <v>0.011128951301116132</v>
      </c>
      <c r="AA28" s="140">
        <f t="shared" si="17"/>
        <v>0.28228800993662534</v>
      </c>
    </row>
    <row r="29" spans="1:27" ht="10.5">
      <c r="A29" s="138">
        <f t="shared" si="9"/>
        <v>25</v>
      </c>
      <c r="B29" s="138">
        <f t="shared" si="10"/>
        <v>72</v>
      </c>
      <c r="C29" s="142">
        <f t="shared" si="11"/>
        <v>99402296.95008065</v>
      </c>
      <c r="D29" s="143">
        <f t="shared" si="12"/>
        <v>20.3093886722281</v>
      </c>
      <c r="E29" s="144">
        <f>(F29-D29)/Dimensions!$D$6</f>
        <v>0.17480443018079486</v>
      </c>
      <c r="F29" s="143">
        <f>SQRT(2*Dimensions!$D$6*Dimensions!$D$20+(D29*D29))</f>
        <v>22.02363453746059</v>
      </c>
      <c r="G29" s="145">
        <f t="shared" si="13"/>
        <v>24107068825.39227</v>
      </c>
      <c r="H29" s="142">
        <f>IF(Dimensions!$D$52="y",C29+Dimensions!$D$53,C29+LOOKUP(110-B30,'Tower Mass'!$A$8:$A$124,'Tower Mass'!$AC$8:$AC$124))</f>
        <v>102124353.69407685</v>
      </c>
      <c r="I29" s="143">
        <f t="shared" si="14"/>
        <v>21.436609202645872</v>
      </c>
      <c r="J29" s="145">
        <f t="shared" si="15"/>
        <v>23464510934.93342</v>
      </c>
      <c r="K29" s="145">
        <f t="shared" si="6"/>
        <v>642557890.4588509</v>
      </c>
      <c r="L29" s="145">
        <f>IF(Dimensions!$D$63="y",Dimensions!$D$64,LOOKUP(110-B30,'Tower Mass'!$A$8:$A$124,'Tower Mass'!$AK$8:$AK$124))</f>
        <v>0</v>
      </c>
      <c r="M29" s="145">
        <f>IF(Dimensions!$D$57="y",Dimensions!$D$61,LOOKUP(110-B30,'Tower Mass'!$A$8:$A$124,'Tower Mass'!$AO$8:$AO$124))</f>
        <v>970863311.7257146</v>
      </c>
      <c r="N29" s="145">
        <f t="shared" si="7"/>
        <v>22493647623.207703</v>
      </c>
      <c r="O29" s="142">
        <f>IF(Dimensions!$D$66="y",((H29-C29)*(Dimensions!$D$67/100))+(H29*Dimensions!$D$68/100),0)</f>
        <v>1048464.1043807305</v>
      </c>
      <c r="P29" s="142">
        <f t="shared" si="0"/>
        <v>101075889.58969612</v>
      </c>
      <c r="Q29" s="143">
        <f t="shared" si="1"/>
        <v>20.988445840236068</v>
      </c>
      <c r="R29" s="144">
        <f t="shared" si="2"/>
        <v>6.32296049281853</v>
      </c>
      <c r="S29" s="138">
        <f t="shared" si="8"/>
      </c>
      <c r="U29" s="138">
        <f t="shared" si="18"/>
        <v>1267988827.5920448</v>
      </c>
      <c r="V29" s="140">
        <f t="shared" si="4"/>
        <v>0.004649856464597033</v>
      </c>
      <c r="W29" s="140">
        <f t="shared" si="16"/>
        <v>0.15670364551054639</v>
      </c>
      <c r="Y29" s="140">
        <f>(Q29*Q29-F29*F29)/(2*Dimensions!$D$6-20000000000/C29)</f>
        <v>0.2451995845141974</v>
      </c>
      <c r="Z29" s="140">
        <f t="shared" si="5"/>
        <v>0.011283856849975262</v>
      </c>
      <c r="AA29" s="140">
        <f t="shared" si="17"/>
        <v>0.2935718667866006</v>
      </c>
    </row>
    <row r="30" spans="1:27" ht="10.5">
      <c r="A30" s="138">
        <f t="shared" si="9"/>
        <v>26</v>
      </c>
      <c r="B30" s="138">
        <f t="shared" si="10"/>
        <v>71</v>
      </c>
      <c r="C30" s="142">
        <f t="shared" si="11"/>
        <v>101075889.58969612</v>
      </c>
      <c r="D30" s="143">
        <f t="shared" si="12"/>
        <v>20.988445840236068</v>
      </c>
      <c r="E30" s="144">
        <f>(F30-D30)/Dimensions!$D$6</f>
        <v>0.16956996052604992</v>
      </c>
      <c r="F30" s="143">
        <f>SQRT(2*Dimensions!$D$6*Dimensions!$D$20+(D30*D30))</f>
        <v>22.651359093628855</v>
      </c>
      <c r="G30" s="145">
        <f t="shared" si="13"/>
        <v>25930214343.55038</v>
      </c>
      <c r="H30" s="142">
        <f>IF(Dimensions!$D$52="y",C30+Dimensions!$D$53,C30+LOOKUP(110-B31,'Tower Mass'!$A$8:$A$124,'Tower Mass'!$AC$8:$AC$124))</f>
        <v>103809881.30488905</v>
      </c>
      <c r="I30" s="143">
        <f t="shared" si="14"/>
        <v>22.054800969090042</v>
      </c>
      <c r="J30" s="145">
        <f t="shared" si="15"/>
        <v>25247302560.03498</v>
      </c>
      <c r="K30" s="145">
        <f t="shared" si="6"/>
        <v>682911783.5153999</v>
      </c>
      <c r="L30" s="145">
        <f>IF(Dimensions!$D$63="y",Dimensions!$D$64,LOOKUP(110-B31,'Tower Mass'!$A$8:$A$124,'Tower Mass'!$AK$8:$AK$124))</f>
        <v>0</v>
      </c>
      <c r="M30" s="145">
        <f>IF(Dimensions!$D$57="y",Dimensions!$D$61,LOOKUP(110-B31,'Tower Mass'!$A$8:$A$124,'Tower Mass'!$AO$8:$AO$124))</f>
        <v>976676864.4905388</v>
      </c>
      <c r="N30" s="145">
        <f t="shared" si="7"/>
        <v>24270625695.54444</v>
      </c>
      <c r="O30" s="142">
        <f>IF(Dimensions!$D$66="y",((H30-C30)*(Dimensions!$D$67/100))+(H30*Dimensions!$D$68/100),0)</f>
        <v>1065438.73020082</v>
      </c>
      <c r="P30" s="142">
        <f t="shared" si="0"/>
        <v>102744442.57468823</v>
      </c>
      <c r="Q30" s="143">
        <f t="shared" si="1"/>
        <v>21.62400518759031</v>
      </c>
      <c r="R30" s="144">
        <f t="shared" si="2"/>
        <v>6.49253045334458</v>
      </c>
      <c r="S30" s="138">
        <f t="shared" si="8"/>
      </c>
      <c r="U30" s="138">
        <f t="shared" si="18"/>
        <v>1347838042.581009</v>
      </c>
      <c r="V30" s="140">
        <f t="shared" si="4"/>
        <v>0.004517184742505585</v>
      </c>
      <c r="W30" s="140">
        <f t="shared" si="16"/>
        <v>0.16122083025305198</v>
      </c>
      <c r="Y30" s="140">
        <f>(Q30*Q30-F30*F30)/(2*Dimensions!$D$6-20000000000/C30)</f>
        <v>0.2551723515862868</v>
      </c>
      <c r="Z30" s="140">
        <f t="shared" si="5"/>
        <v>0.011415534290053181</v>
      </c>
      <c r="AA30" s="140">
        <f t="shared" si="17"/>
        <v>0.3049874010766538</v>
      </c>
    </row>
    <row r="31" spans="1:27" ht="10.5">
      <c r="A31" s="138">
        <f t="shared" si="9"/>
        <v>27</v>
      </c>
      <c r="B31" s="138">
        <f t="shared" si="10"/>
        <v>70</v>
      </c>
      <c r="C31" s="142">
        <f t="shared" si="11"/>
        <v>102744442.57468823</v>
      </c>
      <c r="D31" s="143">
        <f t="shared" si="12"/>
        <v>21.62400518759031</v>
      </c>
      <c r="E31" s="144">
        <f>(F31-D31)/Dimensions!$D$6</f>
        <v>0.1649374454927931</v>
      </c>
      <c r="F31" s="143">
        <f>SQRT(2*Dimensions!$D$6*Dimensions!$D$20+(D31*D31))</f>
        <v>23.24148898743221</v>
      </c>
      <c r="G31" s="145">
        <f t="shared" si="13"/>
        <v>27749568913.529697</v>
      </c>
      <c r="H31" s="142">
        <f>IF(Dimensions!$D$52="y",C31+Dimensions!$D$53,C31+LOOKUP(110-B32,'Tower Mass'!$A$8:$A$124,'Tower Mass'!$AC$8:$AC$124))</f>
        <v>105490369.26107787</v>
      </c>
      <c r="I31" s="143">
        <f t="shared" si="14"/>
        <v>22.636510302751766</v>
      </c>
      <c r="J31" s="145">
        <f t="shared" si="15"/>
        <v>27027244379.553642</v>
      </c>
      <c r="K31" s="145">
        <f t="shared" si="6"/>
        <v>722324533.9760551</v>
      </c>
      <c r="L31" s="145">
        <f>IF(Dimensions!$D$63="y",Dimensions!$D$64,LOOKUP(110-B32,'Tower Mass'!$A$8:$A$124,'Tower Mass'!$AK$8:$AK$124))</f>
        <v>0</v>
      </c>
      <c r="M31" s="145">
        <f>IF(Dimensions!$D$57="y",Dimensions!$D$61,LOOKUP(110-B32,'Tower Mass'!$A$8:$A$124,'Tower Mass'!$AO$8:$AO$124))</f>
        <v>988515371.9389093</v>
      </c>
      <c r="N31" s="145">
        <f t="shared" si="7"/>
        <v>26038729007.614735</v>
      </c>
      <c r="O31" s="142">
        <f>IF(Dimensions!$D$66="y",((H31-C31)*(Dimensions!$D$67/100))+(H31*Dimensions!$D$68/100),0)</f>
        <v>1082362.9594746751</v>
      </c>
      <c r="P31" s="142">
        <f t="shared" si="0"/>
        <v>104408006.3016032</v>
      </c>
      <c r="Q31" s="143">
        <f t="shared" si="1"/>
        <v>22.218691679506538</v>
      </c>
      <c r="R31" s="144">
        <f t="shared" si="2"/>
        <v>6.657467898837373</v>
      </c>
      <c r="S31" s="138">
        <f t="shared" si="8"/>
      </c>
      <c r="U31" s="138">
        <f t="shared" si="18"/>
        <v>1425846875.6005898</v>
      </c>
      <c r="V31" s="140">
        <f t="shared" si="4"/>
        <v>0.004399454579058712</v>
      </c>
      <c r="W31" s="140">
        <f t="shared" si="16"/>
        <v>0.1656202848321107</v>
      </c>
      <c r="Y31" s="140">
        <f>(Q31*Q31-F31*F31)/(2*Dimensions!$D$6-20000000000/C31)</f>
        <v>0.26562713423644874</v>
      </c>
      <c r="Z31" s="140">
        <f t="shared" si="5"/>
        <v>0.011579717439565073</v>
      </c>
      <c r="AA31" s="140">
        <f t="shared" si="17"/>
        <v>0.3165671185162189</v>
      </c>
    </row>
    <row r="32" spans="1:27" ht="10.5">
      <c r="A32" s="138">
        <f t="shared" si="9"/>
        <v>28</v>
      </c>
      <c r="B32" s="138">
        <f t="shared" si="10"/>
        <v>69</v>
      </c>
      <c r="C32" s="142">
        <f t="shared" si="11"/>
        <v>104408006.3016032</v>
      </c>
      <c r="D32" s="143">
        <f t="shared" si="12"/>
        <v>22.218691679506538</v>
      </c>
      <c r="E32" s="144">
        <f>(F32-D32)/Dimensions!$D$6</f>
        <v>0.16081894748726971</v>
      </c>
      <c r="F32" s="143">
        <f>SQRT(2*Dimensions!$D$6*Dimensions!$D$20+(D32*D32))</f>
        <v>23.79578681088257</v>
      </c>
      <c r="G32" s="145">
        <f t="shared" si="13"/>
        <v>29559967073.32441</v>
      </c>
      <c r="H32" s="142">
        <f>IF(Dimensions!$D$52="y",C32+Dimensions!$D$53,C32+LOOKUP(110-B33,'Tower Mass'!$A$8:$A$124,'Tower Mass'!$AC$8:$AC$124))</f>
        <v>107165867.95918955</v>
      </c>
      <c r="I32" s="143">
        <f t="shared" si="14"/>
        <v>23.183413773575364</v>
      </c>
      <c r="J32" s="145">
        <f t="shared" si="15"/>
        <v>28799255651.455635</v>
      </c>
      <c r="K32" s="145">
        <f t="shared" si="6"/>
        <v>760711421.8687744</v>
      </c>
      <c r="L32" s="145">
        <f>IF(Dimensions!$D$63="y",Dimensions!$D$64,LOOKUP(110-B33,'Tower Mass'!$A$8:$A$124,'Tower Mass'!$AK$8:$AK$124))</f>
        <v>0</v>
      </c>
      <c r="M32" s="145">
        <f>IF(Dimensions!$D$57="y",Dimensions!$D$61,LOOKUP(110-B33,'Tower Mass'!$A$8:$A$124,'Tower Mass'!$AO$8:$AO$124))</f>
        <v>994542904.6946342</v>
      </c>
      <c r="N32" s="145">
        <f t="shared" si="7"/>
        <v>27804712746.761</v>
      </c>
      <c r="O32" s="142">
        <f>IF(Dimensions!$D$66="y",((H32-C32)*(Dimensions!$D$67/100))+(H32*Dimensions!$D$68/100),0)</f>
        <v>1099237.296167759</v>
      </c>
      <c r="P32" s="142">
        <f t="shared" si="0"/>
        <v>106066630.66302179</v>
      </c>
      <c r="Q32" s="143">
        <f t="shared" si="1"/>
        <v>22.779593051043218</v>
      </c>
      <c r="R32" s="144">
        <f t="shared" si="2"/>
        <v>6.818286846324643</v>
      </c>
      <c r="S32" s="138">
        <f t="shared" si="8"/>
      </c>
      <c r="U32" s="138">
        <f t="shared" si="18"/>
        <v>1501846304.0909996</v>
      </c>
      <c r="V32" s="140">
        <f t="shared" si="4"/>
        <v>0.004294114199238019</v>
      </c>
      <c r="W32" s="140">
        <f t="shared" si="16"/>
        <v>0.16991439903134872</v>
      </c>
      <c r="Y32" s="140">
        <f>(Q32*Q32-F32*F32)/(2*Dimensions!$D$6-20000000000/C32)</f>
        <v>0.27526354881418286</v>
      </c>
      <c r="Z32" s="140">
        <f t="shared" si="5"/>
        <v>0.011718528429163945</v>
      </c>
      <c r="AA32" s="140">
        <f t="shared" si="17"/>
        <v>0.3282856469453828</v>
      </c>
    </row>
    <row r="33" spans="1:27" ht="10.5">
      <c r="A33" s="138">
        <f t="shared" si="9"/>
        <v>29</v>
      </c>
      <c r="B33" s="138">
        <f t="shared" si="10"/>
        <v>68</v>
      </c>
      <c r="C33" s="142">
        <f t="shared" si="11"/>
        <v>106066630.66302179</v>
      </c>
      <c r="D33" s="143">
        <f t="shared" si="12"/>
        <v>22.779593051043218</v>
      </c>
      <c r="E33" s="144">
        <f>(F33-D33)/Dimensions!$D$6</f>
        <v>0.15711274082020557</v>
      </c>
      <c r="F33" s="143">
        <f>SQRT(2*Dimensions!$D$6*Dimensions!$D$20+(D33*D33))</f>
        <v>24.320342710807687</v>
      </c>
      <c r="G33" s="145">
        <f t="shared" si="13"/>
        <v>31368096008.554756</v>
      </c>
      <c r="H33" s="142">
        <f>IF(Dimensions!$D$52="y",C33+Dimensions!$D$53,C33+LOOKUP(110-B34,'Tower Mass'!$A$8:$A$124,'Tower Mass'!$AC$8:$AC$124))</f>
        <v>108836427.29180485</v>
      </c>
      <c r="I33" s="143">
        <f t="shared" si="14"/>
        <v>23.701410199630743</v>
      </c>
      <c r="J33" s="145">
        <f t="shared" si="15"/>
        <v>30569804032.809425</v>
      </c>
      <c r="K33" s="145">
        <f t="shared" si="6"/>
        <v>798291975.7453308</v>
      </c>
      <c r="L33" s="145">
        <f>IF(Dimensions!$D$63="y",Dimensions!$D$64,LOOKUP(110-B34,'Tower Mass'!$A$8:$A$124,'Tower Mass'!$AK$8:$AK$124))</f>
        <v>0</v>
      </c>
      <c r="M33" s="145">
        <f>IF(Dimensions!$D$57="y",Dimensions!$D$61,LOOKUP(110-B34,'Tower Mass'!$A$8:$A$124,'Tower Mass'!$AO$8:$AO$124))</f>
        <v>1006821212.1599998</v>
      </c>
      <c r="N33" s="145">
        <f t="shared" si="7"/>
        <v>29562982820.649426</v>
      </c>
      <c r="O33" s="142">
        <f>IF(Dimensions!$D$66="y",((H33-C33)*(Dimensions!$D$67/100))+(H33*Dimensions!$D$68/100),0)</f>
        <v>1116062.2392058792</v>
      </c>
      <c r="P33" s="142">
        <f t="shared" si="0"/>
        <v>107720365.05259897</v>
      </c>
      <c r="Q33" s="143">
        <f t="shared" si="1"/>
        <v>23.307837674864388</v>
      </c>
      <c r="R33" s="144">
        <f t="shared" si="2"/>
        <v>6.975399587144849</v>
      </c>
      <c r="S33" s="138">
        <f t="shared" si="8"/>
      </c>
      <c r="U33" s="138">
        <f t="shared" si="18"/>
        <v>1576268084.1085472</v>
      </c>
      <c r="V33" s="140">
        <f t="shared" si="4"/>
        <v>0.004199194644441335</v>
      </c>
      <c r="W33" s="140">
        <f t="shared" si="16"/>
        <v>0.17411359367579005</v>
      </c>
      <c r="Y33" s="140">
        <f>(Q33*Q33-F33*F33)/(2*Dimensions!$D$6-20000000000/C33)</f>
        <v>0.2854365763902472</v>
      </c>
      <c r="Z33" s="140">
        <f t="shared" si="5"/>
        <v>0.01188780330124943</v>
      </c>
      <c r="AA33" s="140">
        <f t="shared" si="17"/>
        <v>0.34017345024663226</v>
      </c>
    </row>
    <row r="34" spans="1:27" ht="10.5">
      <c r="A34" s="138">
        <f t="shared" si="9"/>
        <v>30</v>
      </c>
      <c r="B34" s="138">
        <f t="shared" si="10"/>
        <v>67</v>
      </c>
      <c r="C34" s="142">
        <f t="shared" si="11"/>
        <v>107720365.05259897</v>
      </c>
      <c r="D34" s="143">
        <f t="shared" si="12"/>
        <v>23.307837674864388</v>
      </c>
      <c r="E34" s="144">
        <f>(F34-D34)/Dimensions!$D$6</f>
        <v>0.1537705495365172</v>
      </c>
      <c r="F34" s="143">
        <f>SQRT(2*Dimensions!$D$6*Dimensions!$D$20+(D34*D34))</f>
        <v>24.815811634476674</v>
      </c>
      <c r="G34" s="145">
        <f t="shared" si="13"/>
        <v>33168420355.38022</v>
      </c>
      <c r="H34" s="142">
        <f>IF(Dimensions!$D$52="y",C34+Dimensions!$D$53,C34+LOOKUP(110-B35,'Tower Mass'!$A$8:$A$124,'Tower Mass'!$AC$8:$AC$124))</f>
        <v>110502096.60056494</v>
      </c>
      <c r="I34" s="143">
        <f t="shared" si="14"/>
        <v>24.191109223973704</v>
      </c>
      <c r="J34" s="145">
        <f t="shared" si="15"/>
        <v>32333453018.676434</v>
      </c>
      <c r="K34" s="145">
        <f t="shared" si="6"/>
        <v>834967336.703785</v>
      </c>
      <c r="L34" s="145">
        <f>IF(Dimensions!$D$63="y",Dimensions!$D$64,LOOKUP(110-B35,'Tower Mass'!$A$8:$A$124,'Tower Mass'!$AK$8:$AK$124))</f>
        <v>0</v>
      </c>
      <c r="M34" s="145">
        <f>IF(Dimensions!$D$57="y",Dimensions!$D$61,LOOKUP(110-B35,'Tower Mass'!$A$8:$A$124,'Tower Mass'!$AO$8:$AO$124))</f>
        <v>1013074760.0616148</v>
      </c>
      <c r="N34" s="145">
        <f t="shared" si="7"/>
        <v>31320378258.61482</v>
      </c>
      <c r="O34" s="142">
        <f>IF(Dimensions!$D$66="y",((H34-C34)*(Dimensions!$D$67/100))+(H34*Dimensions!$D$68/100),0)</f>
        <v>1132838.2814853091</v>
      </c>
      <c r="P34" s="142">
        <f t="shared" si="0"/>
        <v>109369258.31907964</v>
      </c>
      <c r="Q34" s="143">
        <f t="shared" si="1"/>
        <v>23.809114192551366</v>
      </c>
      <c r="R34" s="144">
        <f t="shared" si="2"/>
        <v>7.129170136681366</v>
      </c>
      <c r="S34" s="138">
        <f t="shared" si="8"/>
      </c>
      <c r="U34" s="138">
        <f t="shared" si="18"/>
        <v>1648915570.1191902</v>
      </c>
      <c r="V34" s="140">
        <f t="shared" si="4"/>
        <v>0.004113116814027725</v>
      </c>
      <c r="W34" s="140">
        <f t="shared" si="16"/>
        <v>0.17822671048981778</v>
      </c>
      <c r="Y34" s="140">
        <f>(Q34*Q34-F34*F34)/(2*Dimensions!$D$6-20000000000/C34)</f>
        <v>0.29478962936807823</v>
      </c>
      <c r="Z34" s="140">
        <f t="shared" si="5"/>
        <v>0.012030530553818582</v>
      </c>
      <c r="AA34" s="140">
        <f t="shared" si="17"/>
        <v>0.35220398080045084</v>
      </c>
    </row>
    <row r="35" spans="1:27" ht="10.5">
      <c r="A35" s="138">
        <f t="shared" si="9"/>
        <v>31</v>
      </c>
      <c r="B35" s="138">
        <f t="shared" si="10"/>
        <v>66</v>
      </c>
      <c r="C35" s="142">
        <f t="shared" si="11"/>
        <v>109369258.31907964</v>
      </c>
      <c r="D35" s="143">
        <f t="shared" si="12"/>
        <v>23.809114192551366</v>
      </c>
      <c r="E35" s="144">
        <f>(F35-D35)/Dimensions!$D$6</f>
        <v>0.1507241062808577</v>
      </c>
      <c r="F35" s="143">
        <f>SQRT(2*Dimensions!$D$6*Dimensions!$D$20+(D35*D35))</f>
        <v>25.28721274941054</v>
      </c>
      <c r="G35" s="145">
        <f t="shared" si="13"/>
        <v>34967710357.963524</v>
      </c>
      <c r="H35" s="142">
        <f>IF(Dimensions!$D$52="y",C35+Dimensions!$D$53,C35+LOOKUP(110-B36,'Tower Mass'!$A$8:$A$124,'Tower Mass'!$AC$8:$AC$124))</f>
        <v>112162924.89025614</v>
      </c>
      <c r="I35" s="143">
        <f t="shared" si="14"/>
        <v>24.65737859516236</v>
      </c>
      <c r="J35" s="145">
        <f t="shared" si="15"/>
        <v>34096761926.53481</v>
      </c>
      <c r="K35" s="145">
        <f t="shared" si="6"/>
        <v>870948431.4287148</v>
      </c>
      <c r="L35" s="145">
        <f>IF(Dimensions!$D$63="y",Dimensions!$D$64,LOOKUP(110-B36,'Tower Mass'!$A$8:$A$124,'Tower Mass'!$AK$8:$AK$124))</f>
        <v>0</v>
      </c>
      <c r="M35" s="145">
        <f>IF(Dimensions!$D$57="y",Dimensions!$D$61,LOOKUP(110-B36,'Tower Mass'!$A$8:$A$124,'Tower Mass'!$AO$8:$AO$124))</f>
        <v>1025817838.8045281</v>
      </c>
      <c r="N35" s="145">
        <f t="shared" si="7"/>
        <v>33070944087.73028</v>
      </c>
      <c r="O35" s="142">
        <f>IF(Dimensions!$D$66="y",((H35-C35)*(Dimensions!$D$67/100))+(H35*Dimensions!$D$68/100),0)</f>
        <v>1149565.9146143263</v>
      </c>
      <c r="P35" s="142">
        <f t="shared" si="0"/>
        <v>111013358.97564182</v>
      </c>
      <c r="Q35" s="143">
        <f t="shared" si="1"/>
        <v>24.28363135917827</v>
      </c>
      <c r="R35" s="144">
        <f t="shared" si="2"/>
        <v>7.279894242962223</v>
      </c>
      <c r="S35" s="138">
        <f t="shared" si="8"/>
      </c>
      <c r="U35" s="138">
        <f t="shared" si="18"/>
        <v>1720203959.2488441</v>
      </c>
      <c r="V35" s="140">
        <f t="shared" si="4"/>
        <v>0.004034629702126605</v>
      </c>
      <c r="W35" s="140">
        <f t="shared" si="16"/>
        <v>0.1822613401919444</v>
      </c>
      <c r="Y35" s="140">
        <f>(Q35*Q35-F35*F35)/(2*Dimensions!$D$6-20000000000/C35)</f>
        <v>0.3047309501064216</v>
      </c>
      <c r="Z35" s="140">
        <f t="shared" si="5"/>
        <v>0.012202760775598353</v>
      </c>
      <c r="AA35" s="140">
        <f t="shared" si="17"/>
        <v>0.3644067415760492</v>
      </c>
    </row>
    <row r="36" spans="1:27" ht="10.5">
      <c r="A36" s="138">
        <f t="shared" si="9"/>
        <v>32</v>
      </c>
      <c r="B36" s="138">
        <f t="shared" si="10"/>
        <v>65</v>
      </c>
      <c r="C36" s="142">
        <f t="shared" si="11"/>
        <v>111013358.97564182</v>
      </c>
      <c r="D36" s="143">
        <f t="shared" si="12"/>
        <v>24.28363135917827</v>
      </c>
      <c r="E36" s="144">
        <f>(F36-D36)/Dimensions!$D$6</f>
        <v>0.14794638099004584</v>
      </c>
      <c r="F36" s="143">
        <f>SQRT(2*Dimensions!$D$6*Dimensions!$D$20+(D36*D36))</f>
        <v>25.734489736314302</v>
      </c>
      <c r="G36" s="145">
        <f t="shared" si="13"/>
        <v>36760073474.4282</v>
      </c>
      <c r="H36" s="142">
        <f>IF(Dimensions!$D$52="y",C36+Dimensions!$D$53,C36+LOOKUP(110-B37,'Tower Mass'!$A$8:$A$124,'Tower Mass'!$AC$8:$AC$124))</f>
        <v>113818960.51801503</v>
      </c>
      <c r="I36" s="143">
        <f t="shared" si="14"/>
        <v>25.100142666478227</v>
      </c>
      <c r="J36" s="145">
        <f t="shared" si="15"/>
        <v>35853949236.70698</v>
      </c>
      <c r="K36" s="145">
        <f t="shared" si="6"/>
        <v>906124237.7212219</v>
      </c>
      <c r="L36" s="145">
        <f>IF(Dimensions!$D$63="y",Dimensions!$D$64,LOOKUP(110-B37,'Tower Mass'!$A$8:$A$124,'Tower Mass'!$AK$8:$AK$124))</f>
        <v>0</v>
      </c>
      <c r="M36" s="145">
        <f>IF(Dimensions!$D$57="y",Dimensions!$D$61,LOOKUP(110-B37,'Tower Mass'!$A$8:$A$124,'Tower Mass'!$AO$8:$AO$124))</f>
        <v>1032310356.7716458</v>
      </c>
      <c r="N36" s="145">
        <f t="shared" si="7"/>
        <v>34821638879.93533</v>
      </c>
      <c r="O36" s="142">
        <f>IF(Dimensions!$D$66="y",((H36-C36)*(Dimensions!$D$67/100))+(H36*Dimensions!$D$68/100),0)</f>
        <v>1166245.6206038825</v>
      </c>
      <c r="P36" s="142">
        <f t="shared" si="0"/>
        <v>112652714.89741114</v>
      </c>
      <c r="Q36" s="143">
        <f t="shared" si="1"/>
        <v>24.736160719159145</v>
      </c>
      <c r="R36" s="144">
        <f t="shared" si="2"/>
        <v>7.427840623952269</v>
      </c>
      <c r="S36" s="138">
        <f t="shared" si="8"/>
      </c>
      <c r="U36" s="138">
        <f t="shared" si="18"/>
        <v>1789912798.263855</v>
      </c>
      <c r="V36" s="140">
        <f t="shared" si="4"/>
        <v>0.003962699077485545</v>
      </c>
      <c r="W36" s="140">
        <f t="shared" si="16"/>
        <v>0.18622403926942993</v>
      </c>
      <c r="Y36" s="140">
        <f>(Q36*Q36-F36*F36)/(2*Dimensions!$D$6-20000000000/C36)</f>
        <v>0.3138450450287153</v>
      </c>
      <c r="Z36" s="140">
        <f t="shared" si="5"/>
        <v>0.012347686220761366</v>
      </c>
      <c r="AA36" s="140">
        <f t="shared" si="17"/>
        <v>0.37675442779681056</v>
      </c>
    </row>
    <row r="37" spans="1:27" ht="10.5">
      <c r="A37" s="138">
        <f t="shared" si="9"/>
        <v>33</v>
      </c>
      <c r="B37" s="138">
        <f t="shared" si="10"/>
        <v>64</v>
      </c>
      <c r="C37" s="142">
        <f t="shared" si="11"/>
        <v>112652714.89741114</v>
      </c>
      <c r="D37" s="143">
        <f t="shared" si="12"/>
        <v>24.736160719159145</v>
      </c>
      <c r="E37" s="144">
        <f>(F37-D37)/Dimensions!$D$6</f>
        <v>0.14538854265649787</v>
      </c>
      <c r="F37" s="143">
        <f>SQRT(2*Dimensions!$D$6*Dimensions!$D$20+(D37*D37))</f>
        <v>26.16193527100149</v>
      </c>
      <c r="G37" s="145">
        <f t="shared" si="13"/>
        <v>38552398329.01357</v>
      </c>
      <c r="H37" s="142">
        <f>IF(Dimensions!$D$52="y",C37+Dimensions!$D$53,C37+LOOKUP(110-B38,'Tower Mass'!$A$8:$A$124,'Tower Mass'!$AC$8:$AC$124))</f>
        <v>115470251.41098106</v>
      </c>
      <c r="I37" s="143">
        <f t="shared" si="14"/>
        <v>25.52356991723307</v>
      </c>
      <c r="J37" s="145">
        <f t="shared" si="15"/>
        <v>37611698983.07487</v>
      </c>
      <c r="K37" s="145">
        <f t="shared" si="6"/>
        <v>940699345.9387054</v>
      </c>
      <c r="L37" s="145">
        <f>IF(Dimensions!$D$63="y",Dimensions!$D$64,LOOKUP(110-B38,'Tower Mass'!$A$8:$A$124,'Tower Mass'!$AK$8:$AK$124))</f>
        <v>0</v>
      </c>
      <c r="M37" s="145">
        <f>IF(Dimensions!$D$57="y",Dimensions!$D$61,LOOKUP(110-B38,'Tower Mass'!$A$8:$A$124,'Tower Mass'!$AO$8:$AO$124))</f>
        <v>1045545104.9353845</v>
      </c>
      <c r="N37" s="145">
        <f t="shared" si="7"/>
        <v>36566153878.13948</v>
      </c>
      <c r="O37" s="142">
        <f>IF(Dimensions!$D$66="y",((H37-C37)*(Dimensions!$D$67/100))+(H37*Dimensions!$D$68/100),0)</f>
        <v>1182877.8792455099</v>
      </c>
      <c r="P37" s="142">
        <f aca="true" t="shared" si="19" ref="P37:P68">H37-O37</f>
        <v>114287373.53173555</v>
      </c>
      <c r="Q37" s="143">
        <f aca="true" t="shared" si="20" ref="Q37:Q68">SQRT(2*N37/H37)</f>
        <v>25.166312401145163</v>
      </c>
      <c r="R37" s="144">
        <f aca="true" t="shared" si="21" ref="R37:R68">IF(ISERROR(R36+E37),R36,R36+E37)</f>
        <v>7.573229166608767</v>
      </c>
      <c r="S37" s="138">
        <f t="shared" si="8"/>
      </c>
      <c r="U37" s="138">
        <f t="shared" si="18"/>
        <v>1858445119.6535034</v>
      </c>
      <c r="V37" s="140">
        <f aca="true" t="shared" si="22" ref="V37:V68">2*0.1/(F37+Q37)</f>
        <v>0.003896489926511368</v>
      </c>
      <c r="W37" s="140">
        <f t="shared" si="16"/>
        <v>0.1901205291959413</v>
      </c>
      <c r="Y37" s="140">
        <f>(Q37*Q37-F37*F37)/(2*Dimensions!$D$6-20000000000/C37)</f>
        <v>0.3235970864002069</v>
      </c>
      <c r="Z37" s="140">
        <f aca="true" t="shared" si="23" ref="Z37:Z68">2*Y37/(I37+F37)</f>
        <v>0.012521773182701482</v>
      </c>
      <c r="AA37" s="140">
        <f t="shared" si="17"/>
        <v>0.38927620097951204</v>
      </c>
    </row>
    <row r="38" spans="1:27" ht="10.5">
      <c r="A38" s="138">
        <f t="shared" si="9"/>
        <v>34</v>
      </c>
      <c r="B38" s="138">
        <f t="shared" si="10"/>
        <v>63</v>
      </c>
      <c r="C38" s="142">
        <f t="shared" si="11"/>
        <v>114287373.53173555</v>
      </c>
      <c r="D38" s="143">
        <f t="shared" si="12"/>
        <v>25.166312401145163</v>
      </c>
      <c r="E38" s="144">
        <f>(F38-D38)/Dimensions!$D$6</f>
        <v>0.14303572733185282</v>
      </c>
      <c r="F38" s="143">
        <f>SQRT(2*Dimensions!$D$6*Dimensions!$D$20+(D38*D38))</f>
        <v>26.569013716584077</v>
      </c>
      <c r="G38" s="145">
        <f t="shared" si="13"/>
        <v>40338442205.36125</v>
      </c>
      <c r="H38" s="142">
        <f>IF(Dimensions!$D$52="y",C38+Dimensions!$D$53,C38+LOOKUP(110-B39,'Tower Mass'!$A$8:$A$124,'Tower Mass'!$AC$8:$AC$124))</f>
        <v>117116845.0165022</v>
      </c>
      <c r="I38" s="143">
        <f t="shared" si="14"/>
        <v>25.92712256353213</v>
      </c>
      <c r="J38" s="145">
        <f t="shared" si="15"/>
        <v>39363890065.1982</v>
      </c>
      <c r="K38" s="145">
        <f t="shared" si="6"/>
        <v>974552140.1630554</v>
      </c>
      <c r="L38" s="145">
        <f>IF(Dimensions!$D$63="y",Dimensions!$D$64,LOOKUP(110-B39,'Tower Mass'!$A$8:$A$124,'Tower Mass'!$AK$8:$AK$124))</f>
        <v>0</v>
      </c>
      <c r="M38" s="145">
        <f>IF(Dimensions!$D$57="y",Dimensions!$D$61,LOOKUP(110-B39,'Tower Mass'!$A$8:$A$124,'Tower Mass'!$AO$8:$AO$124))</f>
        <v>1052290557.2252903</v>
      </c>
      <c r="N38" s="145">
        <f t="shared" si="7"/>
        <v>38311599507.97291</v>
      </c>
      <c r="O38" s="142">
        <f>IF(Dimensions!$D$66="y",((H38-C38)*(Dimensions!$D$67/100))+(H38*Dimensions!$D$68/100),0)</f>
        <v>1199463.1650126884</v>
      </c>
      <c r="P38" s="142">
        <f t="shared" si="19"/>
        <v>115917381.85148951</v>
      </c>
      <c r="Q38" s="143">
        <f t="shared" si="20"/>
        <v>25.578228198493477</v>
      </c>
      <c r="R38" s="144">
        <f t="shared" si="21"/>
        <v>7.71626489394062</v>
      </c>
      <c r="S38" s="138">
        <f t="shared" si="8"/>
      </c>
      <c r="U38" s="138">
        <f t="shared" si="18"/>
        <v>1925559695.5089493</v>
      </c>
      <c r="V38" s="140">
        <f t="shared" si="22"/>
        <v>0.003835293922652756</v>
      </c>
      <c r="W38" s="140">
        <f t="shared" si="16"/>
        <v>0.19395582311859405</v>
      </c>
      <c r="Y38" s="140">
        <f>(Q38*Q38-F38*F38)/(2*Dimensions!$D$6-20000000000/C38)</f>
        <v>0.3325096478632323</v>
      </c>
      <c r="Z38" s="140">
        <f t="shared" si="23"/>
        <v>0.012667966499057414</v>
      </c>
      <c r="AA38" s="140">
        <f t="shared" si="17"/>
        <v>0.4019441674785695</v>
      </c>
    </row>
    <row r="39" spans="1:27" ht="10.5">
      <c r="A39" s="138">
        <f t="shared" si="9"/>
        <v>35</v>
      </c>
      <c r="B39" s="138">
        <f t="shared" si="10"/>
        <v>62</v>
      </c>
      <c r="C39" s="142">
        <f t="shared" si="11"/>
        <v>115917381.85148951</v>
      </c>
      <c r="D39" s="143">
        <f t="shared" si="12"/>
        <v>25.578228198493477</v>
      </c>
      <c r="E39" s="144">
        <f>(F39-D39)/Dimensions!$D$6</f>
        <v>0.1408511444663049</v>
      </c>
      <c r="F39" s="143">
        <f>SQRT(2*Dimensions!$D$6*Dimensions!$D$20+(D39*D39))</f>
        <v>26.959506074373966</v>
      </c>
      <c r="G39" s="145">
        <f t="shared" si="13"/>
        <v>42125244077.43039</v>
      </c>
      <c r="H39" s="142">
        <f>IF(Dimensions!$D$52="y",C39+Dimensions!$D$53,C39+LOOKUP(110-B40,'Tower Mass'!$A$8:$A$124,'Tower Mass'!$AC$8:$AC$124))</f>
        <v>118758788.30745287</v>
      </c>
      <c r="I39" s="143">
        <f t="shared" si="14"/>
        <v>26.31447663528106</v>
      </c>
      <c r="J39" s="145">
        <f t="shared" si="15"/>
        <v>41117361274.089836</v>
      </c>
      <c r="K39" s="145">
        <f t="shared" si="6"/>
        <v>1007882803.3405533</v>
      </c>
      <c r="L39" s="145">
        <f>IF(Dimensions!$D$63="y",Dimensions!$D$64,LOOKUP(110-B40,'Tower Mass'!$A$8:$A$124,'Tower Mass'!$AK$8:$AK$124))</f>
        <v>0</v>
      </c>
      <c r="M39" s="145">
        <f>IF(Dimensions!$D$57="y",Dimensions!$D$61,LOOKUP(110-B40,'Tower Mass'!$A$8:$A$124,'Tower Mass'!$AO$8:$AO$124))</f>
        <v>1066045989.3458823</v>
      </c>
      <c r="N39" s="145">
        <f t="shared" si="7"/>
        <v>40051315284.74396</v>
      </c>
      <c r="O39" s="142">
        <f>IF(Dimensions!$D$66="y",((H39-C39)*(Dimensions!$D$67/100))+(H39*Dimensions!$D$68/100),0)</f>
        <v>1216001.9476341624</v>
      </c>
      <c r="P39" s="142">
        <f t="shared" si="19"/>
        <v>117542786.35981871</v>
      </c>
      <c r="Q39" s="143">
        <f t="shared" si="20"/>
        <v>25.971109919957694</v>
      </c>
      <c r="R39" s="144">
        <f t="shared" si="21"/>
        <v>7.857116038406925</v>
      </c>
      <c r="S39" s="138">
        <f t="shared" si="8"/>
      </c>
      <c r="U39" s="138">
        <f t="shared" si="18"/>
        <v>1991651141.1743317</v>
      </c>
      <c r="V39" s="140">
        <f t="shared" si="22"/>
        <v>0.003778531502853056</v>
      </c>
      <c r="W39" s="140">
        <f t="shared" si="16"/>
        <v>0.19773435462144712</v>
      </c>
      <c r="Y39" s="140">
        <f>(Q39*Q39-F39*F39)/(2*Dimensions!$D$6-20000000000/C39)</f>
        <v>0.34210869486318607</v>
      </c>
      <c r="Z39" s="140">
        <f t="shared" si="23"/>
        <v>0.01284336846853331</v>
      </c>
      <c r="AA39" s="140">
        <f t="shared" si="17"/>
        <v>0.41478753594710277</v>
      </c>
    </row>
    <row r="40" spans="1:27" ht="10.5">
      <c r="A40" s="138">
        <f t="shared" si="9"/>
        <v>36</v>
      </c>
      <c r="B40" s="138">
        <f t="shared" si="10"/>
        <v>61</v>
      </c>
      <c r="C40" s="142">
        <f t="shared" si="11"/>
        <v>117542786.35981871</v>
      </c>
      <c r="D40" s="143">
        <f t="shared" si="12"/>
        <v>25.971109919957694</v>
      </c>
      <c r="E40" s="144">
        <f>(F40-D40)/Dimensions!$D$6</f>
        <v>0.13882726541910234</v>
      </c>
      <c r="F40" s="143">
        <f>SQRT(2*Dimensions!$D$6*Dimensions!$D$20+(D40*D40))</f>
        <v>27.332540322379934</v>
      </c>
      <c r="G40" s="145">
        <f t="shared" si="13"/>
        <v>43906213082.88265</v>
      </c>
      <c r="H40" s="142">
        <f>IF(Dimensions!$D$52="y",C40+Dimensions!$D$53,C40+LOOKUP(110-B41,'Tower Mass'!$A$8:$A$124,'Tower Mass'!$AC$8:$AC$124))</f>
        <v>120396127.78697878</v>
      </c>
      <c r="I40" s="143">
        <f t="shared" si="14"/>
        <v>26.684769741673563</v>
      </c>
      <c r="J40" s="145">
        <f t="shared" si="15"/>
        <v>42865652900.40928</v>
      </c>
      <c r="K40" s="145">
        <f t="shared" si="6"/>
        <v>1040560182.4733734</v>
      </c>
      <c r="L40" s="145">
        <f>IF(Dimensions!$D$63="y",Dimensions!$D$64,LOOKUP(110-B41,'Tower Mass'!$A$8:$A$124,'Tower Mass'!$AK$8:$AK$124))</f>
        <v>0</v>
      </c>
      <c r="M40" s="145">
        <f>IF(Dimensions!$D$57="y",Dimensions!$D$61,LOOKUP(110-B41,'Tower Mass'!$A$8:$A$124,'Tower Mass'!$AO$8:$AO$124))</f>
        <v>1080165803.7743046</v>
      </c>
      <c r="N40" s="145">
        <f t="shared" si="7"/>
        <v>41785487096.63497</v>
      </c>
      <c r="O40" s="142">
        <f>IF(Dimensions!$D$66="y",((H40-C40)*(Dimensions!$D$67/100))+(H40*Dimensions!$D$68/100),0)</f>
        <v>1232494.6921413885</v>
      </c>
      <c r="P40" s="142">
        <f t="shared" si="19"/>
        <v>119163633.0948374</v>
      </c>
      <c r="Q40" s="143">
        <f t="shared" si="20"/>
        <v>26.346411625284276</v>
      </c>
      <c r="R40" s="144">
        <f t="shared" si="21"/>
        <v>7.995943303826028</v>
      </c>
      <c r="S40" s="138">
        <f t="shared" si="8"/>
      </c>
      <c r="U40" s="138">
        <f t="shared" si="18"/>
        <v>2056459493.1174011</v>
      </c>
      <c r="V40" s="140">
        <f t="shared" si="22"/>
        <v>0.0037258551581818436</v>
      </c>
      <c r="W40" s="140">
        <f t="shared" si="16"/>
        <v>0.20146020977962897</v>
      </c>
      <c r="Y40" s="140">
        <f>(Q40*Q40-F40*F40)/(2*Dimensions!$D$6-20000000000/C40)</f>
        <v>0.3516356545909597</v>
      </c>
      <c r="Z40" s="140">
        <f t="shared" si="23"/>
        <v>0.013019369316020796</v>
      </c>
      <c r="AA40" s="140">
        <f t="shared" si="17"/>
        <v>0.4278069052631236</v>
      </c>
    </row>
    <row r="41" spans="1:27" ht="10.5">
      <c r="A41" s="138">
        <f t="shared" si="9"/>
        <v>37</v>
      </c>
      <c r="B41" s="138">
        <f t="shared" si="10"/>
        <v>60</v>
      </c>
      <c r="C41" s="142">
        <f t="shared" si="11"/>
        <v>119163633.0948374</v>
      </c>
      <c r="D41" s="143">
        <f t="shared" si="12"/>
        <v>26.346411625284276</v>
      </c>
      <c r="E41" s="144">
        <f>(F41-D41)/Dimensions!$D$6</f>
        <v>0.13694622903850362</v>
      </c>
      <c r="F41" s="143">
        <f>SQRT(2*Dimensions!$D$6*Dimensions!$D$20+(D41*D41))</f>
        <v>27.689395362284717</v>
      </c>
      <c r="G41" s="145">
        <f t="shared" si="13"/>
        <v>45681534584.869865</v>
      </c>
      <c r="H41" s="142">
        <f>IF(Dimensions!$D$52="y",C41+Dimensions!$D$53,C41+LOOKUP(110-B42,'Tower Mass'!$A$8:$A$124,'Tower Mass'!$AC$8:$AC$124))</f>
        <v>122028909.49319418</v>
      </c>
      <c r="I41" s="143">
        <f t="shared" si="14"/>
        <v>27.039239826634788</v>
      </c>
      <c r="J41" s="145">
        <f t="shared" si="15"/>
        <v>44608918075.95935</v>
      </c>
      <c r="K41" s="145">
        <f t="shared" si="6"/>
        <v>1072616508.9105148</v>
      </c>
      <c r="L41" s="145">
        <f>IF(Dimensions!$D$63="y",Dimensions!$D$64,LOOKUP(110-B42,'Tower Mass'!$A$8:$A$124,'Tower Mass'!$AK$8:$AK$124))</f>
        <v>0</v>
      </c>
      <c r="M41" s="145">
        <f>IF(Dimensions!$D$57="y",Dimensions!$D$61,LOOKUP(110-B42,'Tower Mass'!$A$8:$A$124,'Tower Mass'!$AO$8:$AO$124))</f>
        <v>1087366909.1328</v>
      </c>
      <c r="N41" s="145">
        <f t="shared" si="7"/>
        <v>43521551166.82655</v>
      </c>
      <c r="O41" s="142">
        <f>IF(Dimensions!$D$66="y",((H41-C41)*(Dimensions!$D$67/100))+(H41*Dimensions!$D$68/100),0)</f>
        <v>1248941.8589155094</v>
      </c>
      <c r="P41" s="142">
        <f t="shared" si="19"/>
        <v>120779967.63427867</v>
      </c>
      <c r="Q41" s="143">
        <f t="shared" si="20"/>
        <v>26.707658571951516</v>
      </c>
      <c r="R41" s="144">
        <f t="shared" si="21"/>
        <v>8.132889532864532</v>
      </c>
      <c r="S41" s="138">
        <f t="shared" si="8"/>
      </c>
      <c r="U41" s="138">
        <f t="shared" si="18"/>
        <v>2120047651.6628494</v>
      </c>
      <c r="V41" s="140">
        <f t="shared" si="22"/>
        <v>0.003676669700564881</v>
      </c>
      <c r="W41" s="140">
        <f t="shared" si="16"/>
        <v>0.20513687948019385</v>
      </c>
      <c r="Y41" s="140">
        <f>(Q41*Q41-F41*F41)/(2*Dimensions!$D$6-20000000000/C41)</f>
        <v>0.3602918478198374</v>
      </c>
      <c r="Z41" s="140">
        <f t="shared" si="23"/>
        <v>0.013166483928427399</v>
      </c>
      <c r="AA41" s="140">
        <f t="shared" si="17"/>
        <v>0.440973389191551</v>
      </c>
    </row>
    <row r="42" spans="1:27" ht="10.5">
      <c r="A42" s="138">
        <f t="shared" si="9"/>
        <v>38</v>
      </c>
      <c r="B42" s="138">
        <f t="shared" si="10"/>
        <v>59</v>
      </c>
      <c r="C42" s="142">
        <f t="shared" si="11"/>
        <v>120779967.63427867</v>
      </c>
      <c r="D42" s="143">
        <f t="shared" si="12"/>
        <v>26.707658571951516</v>
      </c>
      <c r="E42" s="144">
        <f>(F42-D42)/Dimensions!$D$6</f>
        <v>0.13518203884635807</v>
      </c>
      <c r="F42" s="143">
        <f>SQRT(2*Dimensions!$D$6*Dimensions!$D$20+(D42*D42))</f>
        <v>28.033341513204153</v>
      </c>
      <c r="G42" s="145">
        <f t="shared" si="13"/>
        <v>47458570078.35436</v>
      </c>
      <c r="H42" s="142">
        <f>IF(Dimensions!$D$52="y",C42+Dimensions!$D$53,C42+LOOKUP(110-B43,'Tower Mass'!$A$8:$A$124,'Tower Mass'!$AC$8:$AC$124))</f>
        <v>123657178.95181836</v>
      </c>
      <c r="I42" s="143">
        <f t="shared" si="14"/>
        <v>27.381071680154882</v>
      </c>
      <c r="J42" s="145">
        <f t="shared" si="15"/>
        <v>46354320926.77946</v>
      </c>
      <c r="K42" s="145">
        <f t="shared" si="6"/>
        <v>1104249151.5749054</v>
      </c>
      <c r="L42" s="145">
        <f>IF(Dimensions!$D$63="y",Dimensions!$D$64,LOOKUP(110-B43,'Tower Mass'!$A$8:$A$124,'Tower Mass'!$AK$8:$AK$124))</f>
        <v>0</v>
      </c>
      <c r="M42" s="145">
        <f>IF(Dimensions!$D$57="y",Dimensions!$D$61,LOOKUP(110-B43,'Tower Mass'!$A$8:$A$124,'Tower Mass'!$AO$8:$AO$124))</f>
        <v>1102061056.5535138</v>
      </c>
      <c r="N42" s="145">
        <f t="shared" si="7"/>
        <v>45252259870.225945</v>
      </c>
      <c r="O42" s="142">
        <f>IF(Dimensions!$D$66="y",((H42-C42)*(Dimensions!$D$67/100))+(H42*Dimensions!$D$68/100),0)</f>
        <v>1265343.9026935804</v>
      </c>
      <c r="P42" s="142">
        <f t="shared" si="19"/>
        <v>122391835.04912478</v>
      </c>
      <c r="Q42" s="143">
        <f t="shared" si="20"/>
        <v>27.053625062028804</v>
      </c>
      <c r="R42" s="144">
        <f t="shared" si="21"/>
        <v>8.26807157171089</v>
      </c>
      <c r="S42" s="138">
        <f t="shared" si="8"/>
      </c>
      <c r="U42" s="138">
        <f t="shared" si="18"/>
        <v>2182805026.113846</v>
      </c>
      <c r="V42" s="140">
        <f t="shared" si="22"/>
        <v>0.0036306228575294216</v>
      </c>
      <c r="W42" s="140">
        <f t="shared" si="16"/>
        <v>0.20876750233772326</v>
      </c>
      <c r="Y42" s="140">
        <f>(Q42*Q42-F42*F42)/(2*Dimensions!$D$6-20000000000/C42)</f>
        <v>0.36971290051104616</v>
      </c>
      <c r="Z42" s="140">
        <f t="shared" si="23"/>
        <v>0.01334356457844268</v>
      </c>
      <c r="AA42" s="140">
        <f t="shared" si="17"/>
        <v>0.45431695376999365</v>
      </c>
    </row>
    <row r="43" spans="1:27" ht="10.5">
      <c r="A43" s="138">
        <f t="shared" si="9"/>
        <v>39</v>
      </c>
      <c r="B43" s="138">
        <f t="shared" si="10"/>
        <v>58</v>
      </c>
      <c r="C43" s="142">
        <f t="shared" si="11"/>
        <v>122391835.04912478</v>
      </c>
      <c r="D43" s="143">
        <f t="shared" si="12"/>
        <v>27.053625062028804</v>
      </c>
      <c r="E43" s="144">
        <f>(F43-D43)/Dimensions!$D$6</f>
        <v>0.13353359203864362</v>
      </c>
      <c r="F43" s="143">
        <f>SQRT(2*Dimensions!$D$6*Dimensions!$D$20+(D43*D43))</f>
        <v>28.363142262394568</v>
      </c>
      <c r="G43" s="145">
        <f t="shared" si="13"/>
        <v>49230147526.41312</v>
      </c>
      <c r="H43" s="142">
        <f>IF(Dimensions!$D$52="y",C43+Dimensions!$D$53,C43+LOOKUP(110-B44,'Tower Mass'!$A$8:$A$124,'Tower Mass'!$AC$8:$AC$124))</f>
        <v>125280981.389875</v>
      </c>
      <c r="I43" s="143">
        <f t="shared" si="14"/>
        <v>27.709050414051195</v>
      </c>
      <c r="J43" s="145">
        <f t="shared" si="15"/>
        <v>48094834735.89546</v>
      </c>
      <c r="K43" s="145">
        <f t="shared" si="6"/>
        <v>1135312790.5176544</v>
      </c>
      <c r="L43" s="145">
        <f>IF(Dimensions!$D$63="y",Dimensions!$D$64,LOOKUP(110-B44,'Tower Mass'!$A$8:$A$124,'Tower Mass'!$AK$8:$AK$124))</f>
        <v>0</v>
      </c>
      <c r="M43" s="145">
        <f>IF(Dimensions!$D$57="y",Dimensions!$D$61,LOOKUP(110-B44,'Tower Mass'!$A$8:$A$124,'Tower Mass'!$AO$8:$AO$124))</f>
        <v>1109558070.5436735</v>
      </c>
      <c r="N43" s="145">
        <f t="shared" si="7"/>
        <v>46985276665.35179</v>
      </c>
      <c r="O43" s="142">
        <f>IF(Dimensions!$D$66="y",((H43-C43)*(Dimensions!$D$67/100))+(H43*Dimensions!$D$68/100),0)</f>
        <v>1281701.2773062522</v>
      </c>
      <c r="P43" s="142">
        <f t="shared" si="19"/>
        <v>123999280.11256874</v>
      </c>
      <c r="Q43" s="143">
        <f t="shared" si="20"/>
        <v>27.387558528644167</v>
      </c>
      <c r="R43" s="144">
        <f t="shared" si="21"/>
        <v>8.401605163749533</v>
      </c>
      <c r="S43" s="138">
        <f t="shared" si="8"/>
      </c>
      <c r="U43" s="138">
        <f t="shared" si="18"/>
        <v>2244443755.526436</v>
      </c>
      <c r="V43" s="140">
        <f t="shared" si="22"/>
        <v>0.0035873988517135845</v>
      </c>
      <c r="W43" s="140">
        <f t="shared" si="16"/>
        <v>0.21235490118943684</v>
      </c>
      <c r="Y43" s="140">
        <f>(Q43*Q43-F43*F43)/(2*Dimensions!$D$6-20000000000/C43)</f>
        <v>0.3782397692844324</v>
      </c>
      <c r="Z43" s="140">
        <f t="shared" si="23"/>
        <v>0.01349117097906248</v>
      </c>
      <c r="AA43" s="140">
        <f t="shared" si="17"/>
        <v>0.46780812474905614</v>
      </c>
    </row>
    <row r="44" spans="1:27" ht="10.5">
      <c r="A44" s="138">
        <f t="shared" si="9"/>
        <v>40</v>
      </c>
      <c r="B44" s="138">
        <f t="shared" si="10"/>
        <v>57</v>
      </c>
      <c r="C44" s="142">
        <f t="shared" si="11"/>
        <v>123999280.11256874</v>
      </c>
      <c r="D44" s="143">
        <f t="shared" si="12"/>
        <v>27.387558528644167</v>
      </c>
      <c r="E44" s="144">
        <f>(F44-D44)/Dimensions!$D$6</f>
        <v>0.13197931588008482</v>
      </c>
      <c r="F44" s="143">
        <f>SQRT(2*Dimensions!$D$6*Dimensions!$D$20+(D44*D44))</f>
        <v>28.6818334867196</v>
      </c>
      <c r="G44" s="145">
        <f t="shared" si="13"/>
        <v>51003853367.09064</v>
      </c>
      <c r="H44" s="142">
        <f>IF(Dimensions!$D$52="y",C44+Dimensions!$D$53,C44+LOOKUP(110-B45,'Tower Mass'!$A$8:$A$124,'Tower Mass'!$AC$8:$AC$124))</f>
        <v>126900361.42451566</v>
      </c>
      <c r="I44" s="143">
        <f t="shared" si="14"/>
        <v>28.02613534538538</v>
      </c>
      <c r="J44" s="145">
        <f t="shared" si="15"/>
        <v>49837849392.164505</v>
      </c>
      <c r="K44" s="145">
        <f t="shared" si="6"/>
        <v>1166003974.9261322</v>
      </c>
      <c r="L44" s="145">
        <f>IF(Dimensions!$D$63="y",Dimensions!$D$64,LOOKUP(110-B45,'Tower Mass'!$A$8:$A$124,'Tower Mass'!$AK$8:$AK$124))</f>
        <v>0</v>
      </c>
      <c r="M44" s="145">
        <f>IF(Dimensions!$D$57="y",Dimensions!$D$61,LOOKUP(110-B45,'Tower Mass'!$A$8:$A$124,'Tower Mass'!$AO$8:$AO$124))</f>
        <v>1124862319.792552</v>
      </c>
      <c r="N44" s="145">
        <f t="shared" si="7"/>
        <v>48712987072.371956</v>
      </c>
      <c r="O44" s="142">
        <f>IF(Dimensions!$D$66="y",((H44-C44)*(Dimensions!$D$67/100))+(H44*Dimensions!$D$68/100),0)</f>
        <v>1298014.427364626</v>
      </c>
      <c r="P44" s="142">
        <f t="shared" si="19"/>
        <v>125602346.99715103</v>
      </c>
      <c r="Q44" s="143">
        <f t="shared" si="20"/>
        <v>27.70804912542159</v>
      </c>
      <c r="R44" s="144">
        <f t="shared" si="21"/>
        <v>8.533584479629617</v>
      </c>
      <c r="S44" s="138">
        <f t="shared" si="8"/>
      </c>
      <c r="U44" s="138">
        <f t="shared" si="18"/>
        <v>2305351821.348442</v>
      </c>
      <c r="V44" s="140">
        <f t="shared" si="22"/>
        <v>0.0035467355265772164</v>
      </c>
      <c r="W44" s="140">
        <f t="shared" si="16"/>
        <v>0.21590163671601406</v>
      </c>
      <c r="Y44" s="140">
        <f>(Q44*Q44-F44*F44)/(2*Dimensions!$D$6-20000000000/C44)</f>
        <v>0.38758029989013765</v>
      </c>
      <c r="Z44" s="140">
        <f t="shared" si="23"/>
        <v>0.013669341641829733</v>
      </c>
      <c r="AA44" s="140">
        <f t="shared" si="17"/>
        <v>0.4814774663908859</v>
      </c>
    </row>
    <row r="45" spans="1:27" ht="10.5">
      <c r="A45" s="138">
        <f t="shared" si="9"/>
        <v>41</v>
      </c>
      <c r="B45" s="138">
        <f t="shared" si="10"/>
        <v>56</v>
      </c>
      <c r="C45" s="142">
        <f t="shared" si="11"/>
        <v>125602346.99715103</v>
      </c>
      <c r="D45" s="143">
        <f t="shared" si="12"/>
        <v>27.70804912542159</v>
      </c>
      <c r="E45" s="144">
        <f>(F45-D45)/Dimensions!$D$6</f>
        <v>0.1305205167739347</v>
      </c>
      <c r="F45" s="143">
        <f>SQRT(2*Dimensions!$D$6*Dimensions!$D$20+(D45*D45))</f>
        <v>28.988018151242695</v>
      </c>
      <c r="G45" s="145">
        <f t="shared" si="13"/>
        <v>52772152426.90044</v>
      </c>
      <c r="H45" s="142">
        <f>IF(Dimensions!$D$52="y",C45+Dimensions!$D$53,C45+LOOKUP(110-B46,'Tower Mass'!$A$8:$A$124,'Tower Mass'!$AC$8:$AC$124))</f>
        <v>128515363.28029467</v>
      </c>
      <c r="I45" s="143">
        <f t="shared" si="14"/>
        <v>28.330956094728393</v>
      </c>
      <c r="J45" s="145">
        <f t="shared" si="15"/>
        <v>51575983071.01713</v>
      </c>
      <c r="K45" s="145">
        <f t="shared" si="6"/>
        <v>1196169355.8833084</v>
      </c>
      <c r="L45" s="145">
        <f>IF(Dimensions!$D$63="y",Dimensions!$D$64,LOOKUP(110-B46,'Tower Mass'!$A$8:$A$124,'Tower Mass'!$AK$8:$AK$124))</f>
        <v>0</v>
      </c>
      <c r="M45" s="145">
        <f>IF(Dimensions!$D$57="y",Dimensions!$D$61,LOOKUP(110-B46,'Tower Mass'!$A$8:$A$124,'Tower Mass'!$AO$8:$AO$124))</f>
        <v>1132673863.68</v>
      </c>
      <c r="N45" s="145">
        <f t="shared" si="7"/>
        <v>50443309207.33713</v>
      </c>
      <c r="O45" s="142">
        <f>IF(Dimensions!$D$66="y",((H45-C45)*(Dimensions!$D$67/100))+(H45*Dimensions!$D$68/100),0)</f>
        <v>1314283.795634383</v>
      </c>
      <c r="P45" s="142">
        <f t="shared" si="19"/>
        <v>127201079.48466028</v>
      </c>
      <c r="Q45" s="143">
        <f t="shared" si="20"/>
        <v>28.018137259895337</v>
      </c>
      <c r="R45" s="144">
        <f t="shared" si="21"/>
        <v>8.664104996403552</v>
      </c>
      <c r="S45" s="138">
        <f t="shared" si="8"/>
      </c>
      <c r="U45" s="138">
        <f t="shared" si="18"/>
        <v>2365225526.8356705</v>
      </c>
      <c r="V45" s="140">
        <f t="shared" si="22"/>
        <v>0.003508393059619022</v>
      </c>
      <c r="W45" s="140">
        <f t="shared" si="16"/>
        <v>0.2194100297756331</v>
      </c>
      <c r="Y45" s="140">
        <f>(Q45*Q45-F45*F45)/(2*Dimensions!$D$6-20000000000/C45)</f>
        <v>0.3959992914070257</v>
      </c>
      <c r="Z45" s="140">
        <f t="shared" si="23"/>
        <v>0.013817389324089666</v>
      </c>
      <c r="AA45" s="140">
        <f t="shared" si="17"/>
        <v>0.49529485571497556</v>
      </c>
    </row>
    <row r="46" spans="1:27" ht="10.5">
      <c r="A46" s="138">
        <f t="shared" si="9"/>
        <v>42</v>
      </c>
      <c r="B46" s="138">
        <f t="shared" si="10"/>
        <v>55</v>
      </c>
      <c r="C46" s="142">
        <f t="shared" si="11"/>
        <v>127201079.48466028</v>
      </c>
      <c r="D46" s="143">
        <f t="shared" si="12"/>
        <v>28.018137259895337</v>
      </c>
      <c r="E46" s="144">
        <f>(F46-D46)/Dimensions!$D$6</f>
        <v>0.12913878156716246</v>
      </c>
      <c r="F46" s="143">
        <f>SQRT(2*Dimensions!$D$6*Dimensions!$D$20+(D46*D46))</f>
        <v>29.28455609215095</v>
      </c>
      <c r="G46" s="145">
        <f t="shared" si="13"/>
        <v>54542883217.759636</v>
      </c>
      <c r="H46" s="142">
        <f>IF(Dimensions!$D$52="y",C46+Dimensions!$D$53,C46+LOOKUP(110-B47,'Tower Mass'!$A$8:$A$124,'Tower Mass'!$AC$8:$AC$124))</f>
        <v>130126030.73900065</v>
      </c>
      <c r="I46" s="143">
        <f t="shared" si="14"/>
        <v>28.626302715881128</v>
      </c>
      <c r="J46" s="145">
        <f t="shared" si="15"/>
        <v>53316877369.60529</v>
      </c>
      <c r="K46" s="145">
        <f t="shared" si="6"/>
        <v>1226005848.1543427</v>
      </c>
      <c r="L46" s="145">
        <f>IF(Dimensions!$D$63="y",Dimensions!$D$64,LOOKUP(110-B47,'Tower Mass'!$A$8:$A$124,'Tower Mass'!$AK$8:$AK$124))</f>
        <v>0</v>
      </c>
      <c r="M46" s="145">
        <f>IF(Dimensions!$D$57="y",Dimensions!$D$61,LOOKUP(110-B47,'Tower Mass'!$A$8:$A$124,'Tower Mass'!$AO$8:$AO$124))</f>
        <v>1148627016.6895776</v>
      </c>
      <c r="N46" s="145">
        <f t="shared" si="7"/>
        <v>52168250352.91572</v>
      </c>
      <c r="O46" s="142">
        <f>IF(Dimensions!$D$66="y",((H46-C46)*(Dimensions!$D$67/100))+(H46*Dimensions!$D$68/100),0)</f>
        <v>1330509.81993341</v>
      </c>
      <c r="P46" s="142">
        <f t="shared" si="19"/>
        <v>128795520.91906723</v>
      </c>
      <c r="Q46" s="143">
        <f t="shared" si="20"/>
        <v>28.316269834693447</v>
      </c>
      <c r="R46" s="144">
        <f t="shared" si="21"/>
        <v>8.793243777970714</v>
      </c>
      <c r="S46" s="138">
        <f t="shared" si="8"/>
      </c>
      <c r="U46" s="138">
        <f t="shared" si="18"/>
        <v>2424453740.9709015</v>
      </c>
      <c r="V46" s="140">
        <f t="shared" si="22"/>
        <v>0.0034721724347148925</v>
      </c>
      <c r="W46" s="140">
        <f t="shared" si="16"/>
        <v>0.222882202210348</v>
      </c>
      <c r="Y46" s="140">
        <f>(Q46*Q46-F46*F46)/(2*Dimensions!$D$6-20000000000/C46)</f>
        <v>0.40528172020135717</v>
      </c>
      <c r="Z46" s="140">
        <f t="shared" si="23"/>
        <v>0.013996743565652172</v>
      </c>
      <c r="AA46" s="140">
        <f t="shared" si="17"/>
        <v>0.5092915992806277</v>
      </c>
    </row>
    <row r="47" spans="1:27" ht="10.5">
      <c r="A47" s="138">
        <f t="shared" si="9"/>
        <v>43</v>
      </c>
      <c r="B47" s="138">
        <f t="shared" si="10"/>
        <v>54</v>
      </c>
      <c r="C47" s="142">
        <f t="shared" si="11"/>
        <v>128795520.91906723</v>
      </c>
      <c r="D47" s="143">
        <f t="shared" si="12"/>
        <v>28.316269834693447</v>
      </c>
      <c r="E47" s="144">
        <f>(F47-D47)/Dimensions!$D$6</f>
        <v>0.1278370477516112</v>
      </c>
      <c r="F47" s="143">
        <f>SQRT(2*Dimensions!$D$6*Dimensions!$D$20+(D47*D47))</f>
        <v>29.569923019026785</v>
      </c>
      <c r="G47" s="145">
        <f t="shared" si="13"/>
        <v>56308136159.24445</v>
      </c>
      <c r="H47" s="142">
        <f>IF(Dimensions!$D$52="y",C47+Dimensions!$D$53,C47+LOOKUP(110-B48,'Tower Mass'!$A$8:$A$124,'Tower Mass'!$AC$8:$AC$124))</f>
        <v>131732407.14460431</v>
      </c>
      <c r="I47" s="143">
        <f t="shared" si="14"/>
        <v>28.91068129189853</v>
      </c>
      <c r="J47" s="145">
        <f t="shared" si="15"/>
        <v>55052783789.57112</v>
      </c>
      <c r="K47" s="145">
        <f t="shared" si="6"/>
        <v>1255352369.6733322</v>
      </c>
      <c r="L47" s="145">
        <f>IF(Dimensions!$D$63="y",Dimensions!$D$64,LOOKUP(110-B48,'Tower Mass'!$A$8:$A$124,'Tower Mass'!$AK$8:$AK$124))</f>
        <v>0</v>
      </c>
      <c r="M47" s="145">
        <f>IF(Dimensions!$D$57="y",Dimensions!$D$61,LOOKUP(110-B48,'Tower Mass'!$A$8:$A$124,'Tower Mass'!$AO$8:$AO$124))</f>
        <v>1156773307.588085</v>
      </c>
      <c r="N47" s="145">
        <f t="shared" si="7"/>
        <v>53896010481.98304</v>
      </c>
      <c r="O47" s="142">
        <f>IF(Dimensions!$D$66="y",((H47-C47)*(Dimensions!$D$67/100))+(H47*Dimensions!$D$68/100),0)</f>
        <v>1346692.933701414</v>
      </c>
      <c r="P47" s="142">
        <f t="shared" si="19"/>
        <v>130385714.2109029</v>
      </c>
      <c r="Q47" s="143">
        <f t="shared" si="20"/>
        <v>28.605332046604627</v>
      </c>
      <c r="R47" s="144">
        <f t="shared" si="21"/>
        <v>8.921080825722326</v>
      </c>
      <c r="S47" s="138">
        <f t="shared" si="8"/>
      </c>
      <c r="U47" s="138">
        <f t="shared" si="18"/>
        <v>2482717494.8818893</v>
      </c>
      <c r="V47" s="140">
        <f t="shared" si="22"/>
        <v>0.0034378878059815395</v>
      </c>
      <c r="W47" s="140">
        <f t="shared" si="16"/>
        <v>0.22632009001632952</v>
      </c>
      <c r="Y47" s="140">
        <f>(Q47*Q47-F47*F47)/(2*Dimensions!$D$6-20000000000/C47)</f>
        <v>0.41361143029437264</v>
      </c>
      <c r="Z47" s="140">
        <f t="shared" si="23"/>
        <v>0.014145251581030669</v>
      </c>
      <c r="AA47" s="140">
        <f t="shared" si="17"/>
        <v>0.5234368508616584</v>
      </c>
    </row>
    <row r="48" spans="1:27" ht="10.5">
      <c r="A48" s="138">
        <f t="shared" si="9"/>
        <v>44</v>
      </c>
      <c r="B48" s="138">
        <f t="shared" si="10"/>
        <v>53</v>
      </c>
      <c r="C48" s="142">
        <f t="shared" si="11"/>
        <v>130385714.2109029</v>
      </c>
      <c r="D48" s="143">
        <f t="shared" si="12"/>
        <v>28.605332046604627</v>
      </c>
      <c r="E48" s="144">
        <f>(F48-D48)/Dimensions!$D$6</f>
        <v>0.1265992169110956</v>
      </c>
      <c r="F48" s="143">
        <f>SQRT(2*Dimensions!$D$6*Dimensions!$D$20+(D48*D48))</f>
        <v>29.846846257125822</v>
      </c>
      <c r="G48" s="145">
        <f t="shared" si="13"/>
        <v>58076028758.59635</v>
      </c>
      <c r="H48" s="142">
        <f>IF(Dimensions!$D$52="y",C48+Dimensions!$D$53,C48+LOOKUP(110-B49,'Tower Mass'!$A$8:$A$124,'Tower Mass'!$AC$8:$AC$124))</f>
        <v>133334535.40763669</v>
      </c>
      <c r="I48" s="143">
        <f t="shared" si="14"/>
        <v>29.186754611479856</v>
      </c>
      <c r="J48" s="145">
        <f t="shared" si="15"/>
        <v>56791621653.55115</v>
      </c>
      <c r="K48" s="145">
        <f t="shared" si="6"/>
        <v>1284407105.0452042</v>
      </c>
      <c r="L48" s="145">
        <f>IF(Dimensions!$D$63="y",Dimensions!$D$64,LOOKUP(110-B49,'Tower Mass'!$A$8:$A$124,'Tower Mass'!$AK$8:$AK$124))</f>
        <v>0</v>
      </c>
      <c r="M48" s="145">
        <f>IF(Dimensions!$D$57="y",Dimensions!$D$61,LOOKUP(110-B49,'Tower Mass'!$A$8:$A$124,'Tower Mass'!$AO$8:$AO$124))</f>
        <v>1173417527.8411512</v>
      </c>
      <c r="N48" s="145">
        <f t="shared" si="7"/>
        <v>55618204125.71</v>
      </c>
      <c r="O48" s="142">
        <f>IF(Dimensions!$D$66="y",((H48-C48)*(Dimensions!$D$67/100))+(H48*Dimensions!$D$68/100),0)</f>
        <v>1362833.5660437047</v>
      </c>
      <c r="P48" s="142">
        <f t="shared" si="19"/>
        <v>131971701.84159298</v>
      </c>
      <c r="Q48" s="143">
        <f t="shared" si="20"/>
        <v>28.883655248546482</v>
      </c>
      <c r="R48" s="144">
        <f t="shared" si="21"/>
        <v>9.047680042633422</v>
      </c>
      <c r="S48" s="138">
        <f t="shared" si="8"/>
      </c>
      <c r="U48" s="138">
        <f t="shared" si="18"/>
        <v>2540408314.460945</v>
      </c>
      <c r="V48" s="140">
        <f t="shared" si="22"/>
        <v>0.0034053855300500645</v>
      </c>
      <c r="W48" s="140">
        <f t="shared" si="16"/>
        <v>0.2297254755463796</v>
      </c>
      <c r="Y48" s="140">
        <f>(Q48*Q48-F48*F48)/(2*Dimensions!$D$6-20000000000/C48)</f>
        <v>0.422855790248616</v>
      </c>
      <c r="Z48" s="140">
        <f t="shared" si="23"/>
        <v>0.014325935874716143</v>
      </c>
      <c r="AA48" s="140">
        <f t="shared" si="17"/>
        <v>0.5377627867363745</v>
      </c>
    </row>
    <row r="49" spans="1:27" ht="10.5">
      <c r="A49" s="138">
        <f t="shared" si="9"/>
        <v>45</v>
      </c>
      <c r="B49" s="138">
        <f t="shared" si="10"/>
        <v>52</v>
      </c>
      <c r="C49" s="142">
        <f t="shared" si="11"/>
        <v>131971701.84159298</v>
      </c>
      <c r="D49" s="143">
        <f t="shared" si="12"/>
        <v>28.883655248546482</v>
      </c>
      <c r="E49" s="144">
        <f>(F49-D49)/Dimensions!$D$6</f>
        <v>0.12542935760094745</v>
      </c>
      <c r="F49" s="143">
        <f>SQRT(2*Dimensions!$D$6*Dimensions!$D$20+(D49*D49))</f>
        <v>30.113697058263813</v>
      </c>
      <c r="G49" s="145">
        <f t="shared" si="13"/>
        <v>59838262657.40496</v>
      </c>
      <c r="H49" s="142">
        <f>IF(Dimensions!$D$52="y",C49+Dimensions!$D$53,C49+LOOKUP(110-B50,'Tower Mass'!$A$8:$A$124,'Tower Mass'!$AC$8:$AC$124))</f>
        <v>134932458.00952348</v>
      </c>
      <c r="I49" s="143">
        <f t="shared" si="14"/>
        <v>29.45292710254158</v>
      </c>
      <c r="J49" s="145">
        <f t="shared" si="15"/>
        <v>58525261265.04426</v>
      </c>
      <c r="K49" s="145">
        <f t="shared" si="6"/>
        <v>1313001392.3607025</v>
      </c>
      <c r="L49" s="145">
        <f>IF(Dimensions!$D$63="y",Dimensions!$D$64,LOOKUP(110-B50,'Tower Mass'!$A$8:$A$124,'Tower Mass'!$AK$8:$AK$124))</f>
        <v>0</v>
      </c>
      <c r="M49" s="145">
        <f>IF(Dimensions!$D$57="y",Dimensions!$D$61,LOOKUP(110-B50,'Tower Mass'!$A$8:$A$124,'Tower Mass'!$AO$8:$AO$124))</f>
        <v>1181920553.4052172</v>
      </c>
      <c r="N49" s="145">
        <f t="shared" si="7"/>
        <v>57343340711.63904</v>
      </c>
      <c r="O49" s="142">
        <f>IF(Dimensions!$D$66="y",((H49-C49)*(Dimensions!$D$67/100))+(H49*Dimensions!$D$68/100),0)</f>
        <v>1378932.1417745398</v>
      </c>
      <c r="P49" s="142">
        <f t="shared" si="19"/>
        <v>133553525.86774895</v>
      </c>
      <c r="Q49" s="143">
        <f t="shared" si="20"/>
        <v>29.154008574887587</v>
      </c>
      <c r="R49" s="144">
        <f t="shared" si="21"/>
        <v>9.173109400234368</v>
      </c>
      <c r="S49" s="138">
        <f t="shared" si="8"/>
      </c>
      <c r="U49" s="138">
        <f t="shared" si="18"/>
        <v>2597192244.779579</v>
      </c>
      <c r="V49" s="140">
        <f t="shared" si="22"/>
        <v>0.0033745190211670684</v>
      </c>
      <c r="W49" s="140">
        <f t="shared" si="16"/>
        <v>0.23309999456754665</v>
      </c>
      <c r="Y49" s="140">
        <f>(Q49*Q49-F49*F49)/(2*Dimensions!$D$6-20000000000/C49)</f>
        <v>0.4311124336883378</v>
      </c>
      <c r="Z49" s="140">
        <f t="shared" si="23"/>
        <v>0.01447496613286365</v>
      </c>
      <c r="AA49" s="140">
        <f t="shared" si="17"/>
        <v>0.5522377528692382</v>
      </c>
    </row>
    <row r="50" spans="1:27" ht="10.5">
      <c r="A50" s="138">
        <f t="shared" si="9"/>
        <v>46</v>
      </c>
      <c r="B50" s="138">
        <f t="shared" si="10"/>
        <v>51</v>
      </c>
      <c r="C50" s="142">
        <f t="shared" si="11"/>
        <v>133553525.86774895</v>
      </c>
      <c r="D50" s="143">
        <f t="shared" si="12"/>
        <v>29.154008574887587</v>
      </c>
      <c r="E50" s="144">
        <f>(F50-D50)/Dimensions!$D$6</f>
        <v>0.12431310241812751</v>
      </c>
      <c r="F50" s="143">
        <f>SQRT(2*Dimensions!$D$6*Dimensions!$D$20+(D50*D50))</f>
        <v>30.373103660716318</v>
      </c>
      <c r="G50" s="145">
        <f t="shared" si="13"/>
        <v>61603261671.446465</v>
      </c>
      <c r="H50" s="142">
        <f>IF(Dimensions!$D$52="y",C50+Dimensions!$D$53,C50+LOOKUP(110-B51,'Tower Mass'!$A$8:$A$124,'Tower Mass'!$AC$8:$AC$124))</f>
        <v>136526217.00687617</v>
      </c>
      <c r="I50" s="143">
        <f t="shared" si="14"/>
        <v>29.71176653368337</v>
      </c>
      <c r="J50" s="145">
        <f t="shared" si="15"/>
        <v>60261926108.74775</v>
      </c>
      <c r="K50" s="145">
        <f t="shared" si="6"/>
        <v>1341335562.6987152</v>
      </c>
      <c r="L50" s="145">
        <f>IF(Dimensions!$D$63="y",Dimensions!$D$64,LOOKUP(110-B51,'Tower Mass'!$A$8:$A$124,'Tower Mass'!$AK$8:$AK$124))</f>
        <v>0</v>
      </c>
      <c r="M50" s="145">
        <f>IF(Dimensions!$D$57="y",Dimensions!$D$61,LOOKUP(110-B51,'Tower Mass'!$A$8:$A$124,'Tower Mass'!$AO$8:$AO$124))</f>
        <v>1199301738.0141177</v>
      </c>
      <c r="N50" s="145">
        <f t="shared" si="7"/>
        <v>59062624370.733635</v>
      </c>
      <c r="O50" s="142">
        <f>IF(Dimensions!$D$66="y",((H50-C50)*(Dimensions!$D$67/100))+(H50*Dimensions!$D$68/100),0)</f>
        <v>1394989.081460034</v>
      </c>
      <c r="P50" s="142">
        <f t="shared" si="19"/>
        <v>135131227.92541614</v>
      </c>
      <c r="Q50" s="143">
        <f t="shared" si="20"/>
        <v>29.414626604561228</v>
      </c>
      <c r="R50" s="144">
        <f t="shared" si="21"/>
        <v>9.297422502652497</v>
      </c>
      <c r="S50" s="138">
        <f t="shared" si="8"/>
      </c>
      <c r="U50" s="138">
        <f t="shared" si="18"/>
        <v>2653465186.573021</v>
      </c>
      <c r="V50" s="140">
        <f t="shared" si="22"/>
        <v>0.003345167965276522</v>
      </c>
      <c r="W50" s="140">
        <f t="shared" si="16"/>
        <v>0.2364451625328232</v>
      </c>
      <c r="Y50" s="140">
        <f>(Q50*Q50-F50*F50)/(2*Dimensions!$D$6-20000000000/C50)</f>
        <v>0.44033683345149366</v>
      </c>
      <c r="Z50" s="140">
        <f t="shared" si="23"/>
        <v>0.014657161845463586</v>
      </c>
      <c r="AA50" s="140">
        <f t="shared" si="17"/>
        <v>0.5668949147147018</v>
      </c>
    </row>
    <row r="51" spans="1:27" ht="10.5">
      <c r="A51" s="138">
        <f t="shared" si="9"/>
        <v>47</v>
      </c>
      <c r="B51" s="138">
        <f t="shared" si="10"/>
        <v>50</v>
      </c>
      <c r="C51" s="142">
        <f t="shared" si="11"/>
        <v>135131227.92541614</v>
      </c>
      <c r="D51" s="143">
        <f t="shared" si="12"/>
        <v>29.414626604561228</v>
      </c>
      <c r="E51" s="144">
        <f>(F51-D51)/Dimensions!$D$6</f>
        <v>0.12325532294033374</v>
      </c>
      <c r="F51" s="143">
        <f>SQRT(2*Dimensions!$D$6*Dimensions!$D$20+(D51*D51))</f>
        <v>30.62334841727405</v>
      </c>
      <c r="G51" s="145">
        <f t="shared" si="13"/>
        <v>63362321192.489006</v>
      </c>
      <c r="H51" s="142">
        <f>IF(Dimensions!$D$52="y",C51+Dimensions!$D$53,C51+LOOKUP(110-B52,'Tower Mass'!$A$8:$A$124,'Tower Mass'!$AC$8:$AC$124))</f>
        <v>138115854.03574008</v>
      </c>
      <c r="I51" s="143">
        <f t="shared" si="14"/>
        <v>29.961590605979687</v>
      </c>
      <c r="J51" s="145">
        <f t="shared" si="15"/>
        <v>61993087808.22526</v>
      </c>
      <c r="K51" s="145">
        <f t="shared" si="6"/>
        <v>1369233384.2637482</v>
      </c>
      <c r="L51" s="145">
        <f>IF(Dimensions!$D$63="y",Dimensions!$D$64,LOOKUP(110-B52,'Tower Mass'!$A$8:$A$124,'Tower Mass'!$AK$8:$AK$124))</f>
        <v>0</v>
      </c>
      <c r="M51" s="145">
        <f>IF(Dimensions!$D$57="y",Dimensions!$D$61,LOOKUP(110-B52,'Tower Mass'!$A$8:$A$124,'Tower Mass'!$AO$8:$AO$124))</f>
        <v>1208185454.5919998</v>
      </c>
      <c r="N51" s="145">
        <f t="shared" si="7"/>
        <v>60784902353.633255</v>
      </c>
      <c r="O51" s="142">
        <f>IF(Dimensions!$D$66="y",((H51-C51)*(Dimensions!$D$67/100))+(H51*Dimensions!$D$68/100),0)</f>
        <v>1411004.80146064</v>
      </c>
      <c r="P51" s="142">
        <f t="shared" si="19"/>
        <v>136704849.23427942</v>
      </c>
      <c r="Q51" s="143">
        <f t="shared" si="20"/>
        <v>29.668192819248212</v>
      </c>
      <c r="R51" s="144">
        <f t="shared" si="21"/>
        <v>9.420677825592831</v>
      </c>
      <c r="S51" s="138">
        <f t="shared" si="8"/>
      </c>
      <c r="U51" s="138">
        <f t="shared" si="18"/>
        <v>2708878205.0831985</v>
      </c>
      <c r="V51" s="140">
        <f t="shared" si="22"/>
        <v>0.0033172149176848016</v>
      </c>
      <c r="W51" s="140">
        <f t="shared" si="16"/>
        <v>0.239762377450508</v>
      </c>
      <c r="Y51" s="140">
        <f>(Q51*Q51-F51*F51)/(2*Dimensions!$D$6-20000000000/C51)</f>
        <v>0.44853465126388226</v>
      </c>
      <c r="Z51" s="140">
        <f t="shared" si="23"/>
        <v>0.014806803753379219</v>
      </c>
      <c r="AA51" s="140">
        <f t="shared" si="17"/>
        <v>0.5817017184680809</v>
      </c>
    </row>
    <row r="52" spans="1:27" ht="10.5">
      <c r="A52" s="138">
        <f t="shared" si="9"/>
        <v>48</v>
      </c>
      <c r="B52" s="138">
        <f t="shared" si="10"/>
        <v>49</v>
      </c>
      <c r="C52" s="142">
        <f t="shared" si="11"/>
        <v>136704849.23427942</v>
      </c>
      <c r="D52" s="143">
        <f t="shared" si="12"/>
        <v>29.668192819248212</v>
      </c>
      <c r="E52" s="144">
        <f>(F52-D52)/Dimensions!$D$6</f>
        <v>0.12224296755155616</v>
      </c>
      <c r="F52" s="143">
        <f>SQRT(2*Dimensions!$D$6*Dimensions!$D$20+(D52*D52))</f>
        <v>30.86698681698768</v>
      </c>
      <c r="G52" s="145">
        <f t="shared" si="13"/>
        <v>65124199421.78637</v>
      </c>
      <c r="H52" s="142">
        <f>IF(Dimensions!$D$52="y",C52+Dimensions!$D$53,C52+LOOKUP(110-B53,'Tower Mass'!$A$8:$A$124,'Tower Mass'!$AC$8:$AC$124))</f>
        <v>139701410.26378626</v>
      </c>
      <c r="I52" s="143">
        <f t="shared" si="14"/>
        <v>30.204897510806475</v>
      </c>
      <c r="J52" s="145">
        <f t="shared" si="15"/>
        <v>63727301296.730415</v>
      </c>
      <c r="K52" s="145">
        <f t="shared" si="6"/>
        <v>1396898125.055954</v>
      </c>
      <c r="L52" s="145">
        <f>IF(Dimensions!$D$63="y",Dimensions!$D$64,LOOKUP(110-B53,'Tower Mass'!$A$8:$A$124,'Tower Mass'!$AK$8:$AK$124))</f>
        <v>0</v>
      </c>
      <c r="M52" s="145">
        <f>IF(Dimensions!$D$57="y",Dimensions!$D$61,LOOKUP(110-B53,'Tower Mass'!$A$8:$A$124,'Tower Mass'!$AO$8:$AO$124))</f>
        <v>1226353656.9166918</v>
      </c>
      <c r="N52" s="145">
        <f t="shared" si="7"/>
        <v>62500947639.81372</v>
      </c>
      <c r="O52" s="142">
        <f>IF(Dimensions!$D$66="y",((H52-C52)*(Dimensions!$D$67/100))+(H52*Dimensions!$D$68/100),0)</f>
        <v>1426979.7129329308</v>
      </c>
      <c r="P52" s="142">
        <f t="shared" si="19"/>
        <v>138274430.5508533</v>
      </c>
      <c r="Q52" s="143">
        <f t="shared" si="20"/>
        <v>29.912857617752806</v>
      </c>
      <c r="R52" s="144">
        <f t="shared" si="21"/>
        <v>9.542920793144386</v>
      </c>
      <c r="S52" s="138">
        <f t="shared" si="8"/>
      </c>
      <c r="U52" s="138">
        <f t="shared" si="18"/>
        <v>2763833127.5075607</v>
      </c>
      <c r="V52" s="140">
        <f t="shared" si="22"/>
        <v>0.0032905645261191918</v>
      </c>
      <c r="W52" s="140">
        <f t="shared" si="16"/>
        <v>0.2430529419766272</v>
      </c>
      <c r="Y52" s="140">
        <f>(Q52*Q52-F52*F52)/(2*Dimensions!$D$6-20000000000/C52)</f>
        <v>0.45775566460606676</v>
      </c>
      <c r="Z52" s="140">
        <f t="shared" si="23"/>
        <v>0.014990716911537626</v>
      </c>
      <c r="AA52" s="140">
        <f t="shared" si="17"/>
        <v>0.5966924353796186</v>
      </c>
    </row>
    <row r="53" spans="1:27" ht="10.5">
      <c r="A53" s="138">
        <f t="shared" si="9"/>
        <v>49</v>
      </c>
      <c r="B53" s="138">
        <f t="shared" si="10"/>
        <v>48</v>
      </c>
      <c r="C53" s="142">
        <f t="shared" si="11"/>
        <v>138274430.5508533</v>
      </c>
      <c r="D53" s="143">
        <f t="shared" si="12"/>
        <v>29.912857617752806</v>
      </c>
      <c r="E53" s="144">
        <f>(F53-D53)/Dimensions!$D$6</f>
        <v>0.12128149227540848</v>
      </c>
      <c r="F53" s="143">
        <f>SQRT(2*Dimensions!$D$6*Dimensions!$D$20+(D53*D53))</f>
        <v>31.10222276397544</v>
      </c>
      <c r="G53" s="145">
        <f t="shared" si="13"/>
        <v>66879764957.38409</v>
      </c>
      <c r="H53" s="142">
        <f>IF(Dimensions!$D$52="y",C53+Dimensions!$D$53,C53+LOOKUP(110-B54,'Tower Mass'!$A$8:$A$124,'Tower Mass'!$AC$8:$AC$124))</f>
        <v>141282926.55155686</v>
      </c>
      <c r="I53" s="143">
        <f t="shared" si="14"/>
        <v>30.439928210186842</v>
      </c>
      <c r="J53" s="145">
        <f t="shared" si="15"/>
        <v>65455619023.311455</v>
      </c>
      <c r="K53" s="145">
        <f t="shared" si="6"/>
        <v>1424145934.0726318</v>
      </c>
      <c r="L53" s="145">
        <f>IF(Dimensions!$D$63="y",Dimensions!$D$64,LOOKUP(110-B54,'Tower Mass'!$A$8:$A$124,'Tower Mass'!$AK$8:$AK$124))</f>
        <v>0</v>
      </c>
      <c r="M53" s="145">
        <f>IF(Dimensions!$D$57="y",Dimensions!$D$61,LOOKUP(110-B54,'Tower Mass'!$A$8:$A$124,'Tower Mass'!$AO$8:$AO$124))</f>
        <v>1235644214.9236362</v>
      </c>
      <c r="N53" s="145">
        <f t="shared" si="7"/>
        <v>64219974808.38782</v>
      </c>
      <c r="O53" s="142">
        <f>IF(Dimensions!$D$66="y",((H53-C53)*(Dimensions!$D$67/100))+(H53*Dimensions!$D$68/100),0)</f>
        <v>1442914.225522604</v>
      </c>
      <c r="P53" s="142">
        <f t="shared" si="19"/>
        <v>139840012.32603425</v>
      </c>
      <c r="Q53" s="143">
        <f t="shared" si="20"/>
        <v>30.15124308594287</v>
      </c>
      <c r="R53" s="144">
        <f t="shared" si="21"/>
        <v>9.664202285419794</v>
      </c>
      <c r="S53" s="138">
        <f t="shared" si="8"/>
      </c>
      <c r="U53" s="138">
        <f t="shared" si="18"/>
        <v>2817965929.607239</v>
      </c>
      <c r="V53" s="140">
        <f t="shared" si="22"/>
        <v>0.003265121364561394</v>
      </c>
      <c r="W53" s="140">
        <f t="shared" si="16"/>
        <v>0.24631806334118858</v>
      </c>
      <c r="Y53" s="140">
        <f>(Q53*Q53-F53*F53)/(2*Dimensions!$D$6-20000000000/C53)</f>
        <v>0.4659072596030727</v>
      </c>
      <c r="Z53" s="140">
        <f t="shared" si="23"/>
        <v>0.015141078179041164</v>
      </c>
      <c r="AA53" s="140">
        <f t="shared" si="17"/>
        <v>0.6118335135586598</v>
      </c>
    </row>
    <row r="54" spans="1:27" ht="10.5">
      <c r="A54" s="138">
        <f t="shared" si="9"/>
        <v>50</v>
      </c>
      <c r="B54" s="138">
        <f t="shared" si="10"/>
        <v>47</v>
      </c>
      <c r="C54" s="142">
        <f t="shared" si="11"/>
        <v>139840012.32603425</v>
      </c>
      <c r="D54" s="143">
        <f t="shared" si="12"/>
        <v>30.15124308594287</v>
      </c>
      <c r="E54" s="144">
        <f>(F54-D54)/Dimensions!$D$6</f>
        <v>0.12035885800233732</v>
      </c>
      <c r="F54" s="143">
        <f>SQRT(2*Dimensions!$D$6*Dimensions!$D$20+(D54*D54))</f>
        <v>31.33156028077149</v>
      </c>
      <c r="G54" s="145">
        <f t="shared" si="13"/>
        <v>68638139590.39153</v>
      </c>
      <c r="H54" s="142">
        <f>IF(Dimensions!$D$52="y",C54+Dimensions!$D$53,C54+LOOKUP(110-B55,'Tower Mass'!$A$8:$A$124,'Tower Mass'!$AC$8:$AC$124))</f>
        <v>142860443.2979345</v>
      </c>
      <c r="I54" s="143">
        <f t="shared" si="14"/>
        <v>30.669131879421503</v>
      </c>
      <c r="J54" s="145">
        <f t="shared" si="15"/>
        <v>67186955778.50826</v>
      </c>
      <c r="K54" s="145">
        <f t="shared" si="6"/>
        <v>1451183811.8832703</v>
      </c>
      <c r="L54" s="145">
        <f>IF(Dimensions!$D$63="y",Dimensions!$D$64,LOOKUP(110-B55,'Tower Mass'!$A$8:$A$124,'Tower Mass'!$AK$8:$AK$124))</f>
        <v>0</v>
      </c>
      <c r="M54" s="145">
        <f>IF(Dimensions!$D$57="y",Dimensions!$D$61,LOOKUP(110-B55,'Tower Mass'!$A$8:$A$124,'Tower Mass'!$AO$8:$AO$124))</f>
        <v>1254654125.9224615</v>
      </c>
      <c r="N54" s="145">
        <f t="shared" si="7"/>
        <v>65932301652.5858</v>
      </c>
      <c r="O54" s="142">
        <f>IF(Dimensions!$D$66="y",((H54-C54)*(Dimensions!$D$67/100))+(H54*Dimensions!$D$68/100),0)</f>
        <v>1458808.7426983477</v>
      </c>
      <c r="P54" s="142">
        <f t="shared" si="19"/>
        <v>141401634.55523616</v>
      </c>
      <c r="Q54" s="143">
        <f t="shared" si="20"/>
        <v>30.381423572215983</v>
      </c>
      <c r="R54" s="144">
        <f t="shared" si="21"/>
        <v>9.784561143422131</v>
      </c>
      <c r="S54" s="138">
        <f t="shared" si="8"/>
      </c>
      <c r="U54" s="138">
        <f t="shared" si="18"/>
        <v>2871685928.889038</v>
      </c>
      <c r="V54" s="140">
        <f t="shared" si="22"/>
        <v>0.003240809105526959</v>
      </c>
      <c r="W54" s="140">
        <f t="shared" si="16"/>
        <v>0.24955887244671554</v>
      </c>
      <c r="Y54" s="140">
        <f>(Q54*Q54-F54*F54)/(2*Dimensions!$D$6-20000000000/C54)</f>
        <v>0.47514028533990843</v>
      </c>
      <c r="Z54" s="140">
        <f t="shared" si="23"/>
        <v>0.015326934870735784</v>
      </c>
      <c r="AA54" s="140">
        <f t="shared" si="17"/>
        <v>0.6271604484293956</v>
      </c>
    </row>
    <row r="55" spans="1:27" ht="10.5">
      <c r="A55" s="138">
        <f t="shared" si="9"/>
        <v>51</v>
      </c>
      <c r="B55" s="138">
        <f t="shared" si="10"/>
        <v>46</v>
      </c>
      <c r="C55" s="142">
        <f t="shared" si="11"/>
        <v>141401634.55523616</v>
      </c>
      <c r="D55" s="143">
        <f t="shared" si="12"/>
        <v>30.381423572215983</v>
      </c>
      <c r="E55" s="144">
        <f>(F55-D55)/Dimensions!$D$6</f>
        <v>0.1194809584055721</v>
      </c>
      <c r="F55" s="143">
        <f>SQRT(2*Dimensions!$D$6*Dimensions!$D$20+(D55*D55))</f>
        <v>31.553131512963986</v>
      </c>
      <c r="G55" s="145">
        <f t="shared" si="13"/>
        <v>70389741336.68521</v>
      </c>
      <c r="H55" s="142">
        <f>IF(Dimensions!$D$52="y",C55+Dimensions!$D$53,C55+LOOKUP(110-B56,'Tower Mass'!$A$8:$A$124,'Tower Mass'!$AC$8:$AC$124))</f>
        <v>144434000.49833316</v>
      </c>
      <c r="I55" s="143">
        <f t="shared" si="14"/>
        <v>30.89067917440208</v>
      </c>
      <c r="J55" s="145">
        <f t="shared" si="15"/>
        <v>68911921338.37231</v>
      </c>
      <c r="K55" s="145">
        <f t="shared" si="6"/>
        <v>1477819998.3128967</v>
      </c>
      <c r="L55" s="145">
        <f>IF(Dimensions!$D$63="y",Dimensions!$D$64,LOOKUP(110-B56,'Tower Mass'!$A$8:$A$124,'Tower Mass'!$AK$8:$AK$124))</f>
        <v>0</v>
      </c>
      <c r="M55" s="145">
        <f>IF(Dimensions!$D$57="y",Dimensions!$D$61,LOOKUP(110-B56,'Tower Mass'!$A$8:$A$124,'Tower Mass'!$AO$8:$AO$124))</f>
        <v>1274258096.64</v>
      </c>
      <c r="N55" s="145">
        <f t="shared" si="7"/>
        <v>67637663241.732315</v>
      </c>
      <c r="O55" s="142">
        <f>IF(Dimensions!$D$66="y",((H55-C55)*(Dimensions!$D$67/100))+(H55*Dimensions!$D$68/100),0)</f>
        <v>1474663.6644143015</v>
      </c>
      <c r="P55" s="142">
        <f t="shared" si="19"/>
        <v>142959336.83391887</v>
      </c>
      <c r="Q55" s="143">
        <f t="shared" si="20"/>
        <v>30.603745039007627</v>
      </c>
      <c r="R55" s="144">
        <f t="shared" si="21"/>
        <v>9.904042101827704</v>
      </c>
      <c r="S55" s="138">
        <f t="shared" si="8"/>
      </c>
      <c r="U55" s="138">
        <f t="shared" si="18"/>
        <v>2924613430.7379074</v>
      </c>
      <c r="V55" s="140">
        <f t="shared" si="22"/>
        <v>0.0032176649004036226</v>
      </c>
      <c r="W55" s="140">
        <f t="shared" si="16"/>
        <v>0.2527765373471192</v>
      </c>
      <c r="Y55" s="140">
        <f>(Q55*Q55-F55*F55)/(2*Dimensions!$D$6-20000000000/C55)</f>
        <v>0.4843796508257187</v>
      </c>
      <c r="Z55" s="140">
        <f t="shared" si="23"/>
        <v>0.015514096449072758</v>
      </c>
      <c r="AA55" s="140">
        <f t="shared" si="17"/>
        <v>0.6426745448784683</v>
      </c>
    </row>
    <row r="56" spans="1:27" ht="10.5">
      <c r="A56" s="138">
        <f t="shared" si="9"/>
        <v>52</v>
      </c>
      <c r="B56" s="138">
        <f t="shared" si="10"/>
        <v>45</v>
      </c>
      <c r="C56" s="142">
        <f t="shared" si="11"/>
        <v>142959336.83391887</v>
      </c>
      <c r="D56" s="143">
        <f t="shared" si="12"/>
        <v>30.603745039007627</v>
      </c>
      <c r="E56" s="144">
        <f>(F56-D56)/Dimensions!$D$6</f>
        <v>0.11864488505489691</v>
      </c>
      <c r="F56" s="143">
        <f>SQRT(2*Dimensions!$D$6*Dimensions!$D$20+(D56*D56))</f>
        <v>31.767253901031232</v>
      </c>
      <c r="G56" s="145">
        <f t="shared" si="13"/>
        <v>72134309271.27405</v>
      </c>
      <c r="H56" s="142">
        <f>IF(Dimensions!$D$52="y",C56+Dimensions!$D$53,C56+LOOKUP(110-B57,'Tower Mass'!$A$8:$A$124,'Tower Mass'!$AC$8:$AC$124))</f>
        <v>146003637.74821258</v>
      </c>
      <c r="I56" s="143">
        <f t="shared" si="14"/>
        <v>31.10487944525029</v>
      </c>
      <c r="J56" s="145">
        <f t="shared" si="15"/>
        <v>70630247132.4581</v>
      </c>
      <c r="K56" s="145">
        <f t="shared" si="6"/>
        <v>1504062138.8159485</v>
      </c>
      <c r="L56" s="145">
        <f>IF(Dimensions!$D$63="y",Dimensions!$D$64,LOOKUP(110-B57,'Tower Mass'!$A$8:$A$124,'Tower Mass'!$AK$8:$AK$124))</f>
        <v>0</v>
      </c>
      <c r="M56" s="145">
        <f>IF(Dimensions!$D$57="y",Dimensions!$D$61,LOOKUP(110-B57,'Tower Mass'!$A$8:$A$124,'Tower Mass'!$AO$8:$AO$124))</f>
        <v>1284291624.96</v>
      </c>
      <c r="N56" s="145">
        <f t="shared" si="7"/>
        <v>69345955507.4981</v>
      </c>
      <c r="O56" s="142">
        <f>IF(Dimensions!$D$66="y",((H56-C56)*(Dimensions!$D$67/100))+(H56*Dimensions!$D$68/100),0)</f>
        <v>1490479.386625063</v>
      </c>
      <c r="P56" s="142">
        <f t="shared" si="19"/>
        <v>144513158.36158752</v>
      </c>
      <c r="Q56" s="143">
        <f t="shared" si="20"/>
        <v>30.820787265802142</v>
      </c>
      <c r="R56" s="144">
        <f t="shared" si="21"/>
        <v>10.0226869868826</v>
      </c>
      <c r="S56" s="138">
        <f t="shared" si="8"/>
      </c>
      <c r="U56" s="138">
        <f t="shared" si="18"/>
        <v>2976763293.6525116</v>
      </c>
      <c r="V56" s="140">
        <f t="shared" si="22"/>
        <v>0.003195498633147572</v>
      </c>
      <c r="W56" s="140">
        <f t="shared" si="16"/>
        <v>0.25597203598026674</v>
      </c>
      <c r="Y56" s="140">
        <f>(Q56*Q56-F56*F56)/(2*Dimensions!$D$6-20000000000/C56)</f>
        <v>0.49246950319709004</v>
      </c>
      <c r="Z56" s="140">
        <f t="shared" si="23"/>
        <v>0.015665748145834674</v>
      </c>
      <c r="AA56" s="140">
        <f t="shared" si="17"/>
        <v>0.658340293024303</v>
      </c>
    </row>
    <row r="57" spans="1:27" ht="10.5">
      <c r="A57" s="138">
        <f t="shared" si="9"/>
        <v>53</v>
      </c>
      <c r="B57" s="138">
        <f t="shared" si="10"/>
        <v>44</v>
      </c>
      <c r="C57" s="142">
        <f t="shared" si="11"/>
        <v>144513158.36158752</v>
      </c>
      <c r="D57" s="143">
        <f t="shared" si="12"/>
        <v>30.820787265802142</v>
      </c>
      <c r="E57" s="144">
        <f>(F57-D57)/Dimensions!$D$6</f>
        <v>0.11783967336301715</v>
      </c>
      <c r="F57" s="143">
        <f>SQRT(2*Dimensions!$D$6*Dimensions!$D$20+(D57*D57))</f>
        <v>31.976399698587574</v>
      </c>
      <c r="G57" s="145">
        <f t="shared" si="13"/>
        <v>73881639595.13249</v>
      </c>
      <c r="H57" s="142">
        <f>IF(Dimensions!$D$52="y",C57+Dimensions!$D$53,C57+LOOKUP(110-B58,'Tower Mass'!$A$8:$A$124,'Tower Mass'!$AC$8:$AC$124))</f>
        <v>147569394.24707794</v>
      </c>
      <c r="I57" s="143">
        <f t="shared" si="14"/>
        <v>31.314152484344888</v>
      </c>
      <c r="J57" s="145">
        <f t="shared" si="15"/>
        <v>72351513925.36485</v>
      </c>
      <c r="K57" s="145">
        <f t="shared" si="6"/>
        <v>1530125669.7676392</v>
      </c>
      <c r="L57" s="145">
        <f>IF(Dimensions!$D$63="y",Dimensions!$D$64,LOOKUP(110-B58,'Tower Mass'!$A$8:$A$124,'Tower Mass'!$AK$8:$AK$124))</f>
        <v>0</v>
      </c>
      <c r="M57" s="145">
        <f>IF(Dimensions!$D$57="y",Dimensions!$D$61,LOOKUP(110-B58,'Tower Mass'!$A$8:$A$124,'Tower Mass'!$AO$8:$AO$124))</f>
        <v>1304840290.9593601</v>
      </c>
      <c r="N57" s="145">
        <f t="shared" si="7"/>
        <v>71046673634.40549</v>
      </c>
      <c r="O57" s="142">
        <f>IF(Dimensions!$D$66="y",((H57-C57)*(Dimensions!$D$67/100))+(H57*Dimensions!$D$68/100),0)</f>
        <v>1506256.3013256835</v>
      </c>
      <c r="P57" s="142">
        <f t="shared" si="19"/>
        <v>146063137.94575226</v>
      </c>
      <c r="Q57" s="143">
        <f t="shared" si="20"/>
        <v>31.03049654918833</v>
      </c>
      <c r="R57" s="144">
        <f t="shared" si="21"/>
        <v>10.140526660245618</v>
      </c>
      <c r="S57" s="138">
        <f t="shared" si="8"/>
      </c>
      <c r="U57" s="138">
        <f t="shared" si="18"/>
        <v>3028561672.4121094</v>
      </c>
      <c r="V57" s="140">
        <f t="shared" si="22"/>
        <v>0.0031742557070815855</v>
      </c>
      <c r="W57" s="140">
        <f t="shared" si="16"/>
        <v>0.2591462916873483</v>
      </c>
      <c r="Y57" s="140">
        <f>(Q57*Q57-F57*F57)/(2*Dimensions!$D$6-20000000000/C57)</f>
        <v>0.5017445395115266</v>
      </c>
      <c r="Z57" s="140">
        <f t="shared" si="23"/>
        <v>0.015855274514316276</v>
      </c>
      <c r="AA57" s="140">
        <f t="shared" si="17"/>
        <v>0.6741955675386192</v>
      </c>
    </row>
    <row r="58" spans="1:27" ht="10.5">
      <c r="A58" s="138">
        <f t="shared" si="9"/>
        <v>54</v>
      </c>
      <c r="B58" s="138">
        <f t="shared" si="10"/>
        <v>43</v>
      </c>
      <c r="C58" s="142">
        <f t="shared" si="11"/>
        <v>146063137.94575226</v>
      </c>
      <c r="D58" s="143">
        <f t="shared" si="12"/>
        <v>31.03049654918833</v>
      </c>
      <c r="E58" s="144">
        <f>(F58-D58)/Dimensions!$D$6</f>
        <v>0.11707179661718843</v>
      </c>
      <c r="F58" s="143">
        <f>SQRT(2*Dimensions!$D$6*Dimensions!$D$20+(D58*D58))</f>
        <v>32.17857868348428</v>
      </c>
      <c r="G58" s="145">
        <f t="shared" si="13"/>
        <v>75621336042.4008</v>
      </c>
      <c r="H58" s="142">
        <f>IF(Dimensions!$D$52="y",C58+Dimensions!$D$53,C58+LOOKUP(110-B59,'Tower Mass'!$A$8:$A$124,'Tower Mass'!$AC$8:$AC$124))</f>
        <v>152195717.3646056</v>
      </c>
      <c r="I58" s="143">
        <f t="shared" si="14"/>
        <v>30.88197393809884</v>
      </c>
      <c r="J58" s="145">
        <f t="shared" si="15"/>
        <v>72574247352.45537</v>
      </c>
      <c r="K58" s="145">
        <f t="shared" si="6"/>
        <v>3047088689.9454346</v>
      </c>
      <c r="L58" s="145">
        <f>IF(Dimensions!$D$63="y",Dimensions!$D$64,LOOKUP(110-B59,'Tower Mass'!$A$8:$A$124,'Tower Mass'!$AK$8:$AK$124))</f>
        <v>0</v>
      </c>
      <c r="M58" s="145">
        <f>IF(Dimensions!$D$57="y",Dimensions!$D$61,LOOKUP(110-B59,'Tower Mass'!$A$8:$A$124,'Tower Mass'!$AO$8:$AO$124))</f>
        <v>3008893312.0660644</v>
      </c>
      <c r="N58" s="145">
        <f t="shared" si="7"/>
        <v>69565354040.3893</v>
      </c>
      <c r="O58" s="142">
        <f>IF(Dimensions!$D$66="y",((H58-C58)*(Dimensions!$D$67/100))+(H58*Dimensions!$D$68/100),0)</f>
        <v>1583282.9678345895</v>
      </c>
      <c r="P58" s="142">
        <f t="shared" si="19"/>
        <v>150612434.396771</v>
      </c>
      <c r="Q58" s="143">
        <f t="shared" si="20"/>
        <v>30.235021495525256</v>
      </c>
      <c r="R58" s="144">
        <f t="shared" si="21"/>
        <v>10.257598456862807</v>
      </c>
      <c r="S58" s="138">
        <f t="shared" si="8"/>
      </c>
      <c r="U58" s="138">
        <f t="shared" si="18"/>
        <v>5971397884.442795</v>
      </c>
      <c r="V58" s="140">
        <f t="shared" si="22"/>
        <v>0.003204429794570038</v>
      </c>
      <c r="W58" s="140">
        <f t="shared" si="16"/>
        <v>0.26235072148191835</v>
      </c>
      <c r="Y58" s="140">
        <f>(Q58*Q58-F58*F58)/(2*Dimensions!$D$6-20000000000/C58)</f>
        <v>1.034016583515572</v>
      </c>
      <c r="Z58" s="140">
        <f t="shared" si="23"/>
        <v>0.0327944028565861</v>
      </c>
      <c r="AA58" s="140">
        <f t="shared" si="17"/>
        <v>0.7069899703952053</v>
      </c>
    </row>
    <row r="59" spans="1:27" ht="10.5">
      <c r="A59" s="138">
        <f t="shared" si="9"/>
        <v>55</v>
      </c>
      <c r="B59" s="138">
        <f t="shared" si="10"/>
        <v>42</v>
      </c>
      <c r="C59" s="142">
        <f t="shared" si="11"/>
        <v>150612434.396771</v>
      </c>
      <c r="D59" s="143">
        <f t="shared" si="12"/>
        <v>30.235021495525256</v>
      </c>
      <c r="E59" s="144">
        <f>(F59-D59)/Dimensions!$D$6</f>
        <v>0.12003786897812391</v>
      </c>
      <c r="F59" s="143">
        <f>SQRT(2*Dimensions!$D$6*Dimensions!$D$20+(D59*D59))</f>
        <v>31.412190863339575</v>
      </c>
      <c r="G59" s="145">
        <f t="shared" si="13"/>
        <v>74306582502.7116</v>
      </c>
      <c r="H59" s="142">
        <f>IF(Dimensions!$D$52="y",C59+Dimensions!$D$53,C59+LOOKUP(110-B60,'Tower Mass'!$A$8:$A$124,'Tower Mass'!$AC$8:$AC$124))</f>
        <v>156756948.78682107</v>
      </c>
      <c r="I59" s="143">
        <f t="shared" si="14"/>
        <v>30.180904720833237</v>
      </c>
      <c r="J59" s="145">
        <f t="shared" si="15"/>
        <v>71393934170.39258</v>
      </c>
      <c r="K59" s="145">
        <f t="shared" si="6"/>
        <v>2912648332.3190155</v>
      </c>
      <c r="L59" s="145">
        <f>IF(Dimensions!$D$63="y",Dimensions!$D$64,LOOKUP(110-B60,'Tower Mass'!$A$8:$A$124,'Tower Mass'!$AK$8:$AK$124))</f>
        <v>0</v>
      </c>
      <c r="M59" s="145">
        <f>IF(Dimensions!$D$57="y",Dimensions!$D$61,LOOKUP(110-B60,'Tower Mass'!$A$8:$A$124,'Tower Mass'!$AO$8:$AO$124))</f>
        <v>3058219431.936</v>
      </c>
      <c r="N59" s="145">
        <f t="shared" si="7"/>
        <v>68335714738.45658</v>
      </c>
      <c r="O59" s="142">
        <f>IF(Dimensions!$D$66="y",((H59-C59)*(Dimensions!$D$67/100))+(H59*Dimensions!$D$68/100),0)</f>
        <v>1629014.6317687114</v>
      </c>
      <c r="P59" s="142">
        <f t="shared" si="19"/>
        <v>155127934.15505236</v>
      </c>
      <c r="Q59" s="143">
        <f t="shared" si="20"/>
        <v>29.527417696926495</v>
      </c>
      <c r="R59" s="144">
        <f t="shared" si="21"/>
        <v>10.37763632584093</v>
      </c>
      <c r="S59" s="138">
        <f t="shared" si="8"/>
      </c>
      <c r="U59" s="138">
        <f t="shared" si="18"/>
        <v>5711127501.93364</v>
      </c>
      <c r="V59" s="140">
        <f t="shared" si="22"/>
        <v>0.0032819377203942906</v>
      </c>
      <c r="W59" s="140">
        <f t="shared" si="16"/>
        <v>0.26563265920231266</v>
      </c>
      <c r="Y59" s="140">
        <f>(Q59*Q59-F59*F59)/(2*Dimensions!$D$6-20000000000/C59)</f>
        <v>1.0148392816131455</v>
      </c>
      <c r="Z59" s="140">
        <f t="shared" si="23"/>
        <v>0.03295302085365303</v>
      </c>
      <c r="AA59" s="140">
        <f t="shared" si="17"/>
        <v>0.7399429912488583</v>
      </c>
    </row>
    <row r="60" spans="1:27" ht="10.5">
      <c r="A60" s="138">
        <f t="shared" si="9"/>
        <v>56</v>
      </c>
      <c r="B60" s="138">
        <f t="shared" si="10"/>
        <v>41</v>
      </c>
      <c r="C60" s="142">
        <f t="shared" si="11"/>
        <v>155127934.15505236</v>
      </c>
      <c r="D60" s="143">
        <f t="shared" si="12"/>
        <v>29.527417696926495</v>
      </c>
      <c r="E60" s="144">
        <f>(F60-D60)/Dimensions!$D$6</f>
        <v>0.12280298552902702</v>
      </c>
      <c r="F60" s="143">
        <f>SQRT(2*Dimensions!$D$6*Dimensions!$D$20+(D60*D60))</f>
        <v>30.731703594964728</v>
      </c>
      <c r="G60" s="145">
        <f t="shared" si="13"/>
        <v>73254327366.8315</v>
      </c>
      <c r="H60" s="142">
        <f>IF(Dimensions!$D$52="y",C60+Dimensions!$D$53,C60+LOOKUP(110-B61,'Tower Mass'!$A$8:$A$124,'Tower Mass'!$AC$8:$AC$124))</f>
        <v>161284383.51629913</v>
      </c>
      <c r="I60" s="143">
        <f t="shared" si="14"/>
        <v>29.55863170268121</v>
      </c>
      <c r="J60" s="145">
        <f t="shared" si="15"/>
        <v>70458107750.93474</v>
      </c>
      <c r="K60" s="145">
        <f t="shared" si="6"/>
        <v>2796219615.896759</v>
      </c>
      <c r="L60" s="145">
        <f>IF(Dimensions!$D$63="y",Dimensions!$D$64,LOOKUP(110-B61,'Tower Mass'!$A$8:$A$124,'Tower Mass'!$AK$8:$AK$124))</f>
        <v>0</v>
      </c>
      <c r="M60" s="145">
        <f>IF(Dimensions!$D$57="y",Dimensions!$D$61,LOOKUP(110-B61,'Tower Mass'!$A$8:$A$124,'Tower Mass'!$AO$8:$AO$124))</f>
        <v>3083493972.695802</v>
      </c>
      <c r="N60" s="145">
        <f t="shared" si="7"/>
        <v>67374613778.23894</v>
      </c>
      <c r="O60" s="142">
        <f>IF(Dimensions!$D$66="y",((H60-C60)*(Dimensions!$D$67/100))+(H60*Dimensions!$D$68/100),0)</f>
        <v>1674408.3287754587</v>
      </c>
      <c r="P60" s="142">
        <f t="shared" si="19"/>
        <v>159609975.18752366</v>
      </c>
      <c r="Q60" s="143">
        <f t="shared" si="20"/>
        <v>28.90460127579561</v>
      </c>
      <c r="R60" s="144">
        <f t="shared" si="21"/>
        <v>10.500439311369957</v>
      </c>
      <c r="S60" s="138">
        <f t="shared" si="8"/>
      </c>
      <c r="U60" s="138">
        <f t="shared" si="18"/>
        <v>5485703637.85144</v>
      </c>
      <c r="V60" s="140">
        <f t="shared" si="22"/>
        <v>0.00335366184127984</v>
      </c>
      <c r="W60" s="140">
        <f t="shared" si="16"/>
        <v>0.2689863210435925</v>
      </c>
      <c r="Y60" s="140">
        <f>(Q60*Q60-F60*F60)/(2*Dimensions!$D$6-20000000000/C60)</f>
        <v>0.99678980942009</v>
      </c>
      <c r="Z60" s="140">
        <f t="shared" si="23"/>
        <v>0.033066321641737825</v>
      </c>
      <c r="AA60" s="140">
        <f t="shared" si="17"/>
        <v>0.7730093128905962</v>
      </c>
    </row>
    <row r="61" spans="1:27" ht="10.5">
      <c r="A61" s="138">
        <f t="shared" si="9"/>
        <v>57</v>
      </c>
      <c r="B61" s="138">
        <f t="shared" si="10"/>
        <v>40</v>
      </c>
      <c r="C61" s="142">
        <f t="shared" si="11"/>
        <v>159609975.18752366</v>
      </c>
      <c r="D61" s="143">
        <f t="shared" si="12"/>
        <v>28.90460127579561</v>
      </c>
      <c r="E61" s="144">
        <f>(F61-D61)/Dimensions!$D$6</f>
        <v>0.1253421727616968</v>
      </c>
      <c r="F61" s="143">
        <f>SQRT(2*Dimensions!$D$6*Dimensions!$D$20+(D61*D61))</f>
        <v>30.133788094309104</v>
      </c>
      <c r="G61" s="145">
        <f t="shared" si="13"/>
        <v>72466534716.53519</v>
      </c>
      <c r="H61" s="142">
        <f>IF(Dimensions!$D$52="y",C61+Dimensions!$D$53,C61+LOOKUP(110-B62,'Tower Mass'!$A$8:$A$124,'Tower Mass'!$AC$8:$AC$124))</f>
        <v>162713951.00981474</v>
      </c>
      <c r="I61" s="143">
        <f t="shared" si="14"/>
        <v>29.55894771277884</v>
      </c>
      <c r="J61" s="145">
        <f t="shared" si="15"/>
        <v>71084143284.88852</v>
      </c>
      <c r="K61" s="145">
        <f t="shared" si="6"/>
        <v>1382391431.6466675</v>
      </c>
      <c r="L61" s="145">
        <f>IF(Dimensions!$D$63="y",Dimensions!$D$64,LOOKUP(110-B62,'Tower Mass'!$A$8:$A$124,'Tower Mass'!$AK$8:$AK$124))</f>
        <v>0</v>
      </c>
      <c r="M61" s="145">
        <f>IF(Dimensions!$D$57="y",Dimensions!$D$61,LOOKUP(110-B62,'Tower Mass'!$A$8:$A$124,'Tower Mass'!$AO$8:$AO$124))</f>
        <v>1370630557.73042</v>
      </c>
      <c r="N61" s="145">
        <f t="shared" si="7"/>
        <v>69713512727.1581</v>
      </c>
      <c r="O61" s="142">
        <f>IF(Dimensions!$D$66="y",((H61-C61)*(Dimensions!$D$67/100))+(H61*Dimensions!$D$68/100),0)</f>
        <v>1658179.2683210582</v>
      </c>
      <c r="P61" s="142">
        <f t="shared" si="19"/>
        <v>161055771.74149367</v>
      </c>
      <c r="Q61" s="143">
        <f t="shared" si="20"/>
        <v>29.272585673186146</v>
      </c>
      <c r="R61" s="144">
        <f t="shared" si="21"/>
        <v>10.625781484131654</v>
      </c>
      <c r="S61" s="138">
        <f t="shared" si="8"/>
      </c>
      <c r="U61" s="138">
        <f t="shared" si="18"/>
        <v>2738411986.3393707</v>
      </c>
      <c r="V61" s="140">
        <f t="shared" si="22"/>
        <v>0.003366642117944453</v>
      </c>
      <c r="W61" s="140">
        <f t="shared" si="16"/>
        <v>0.27235296316153695</v>
      </c>
      <c r="Y61" s="140">
        <f>(Q61*Q61-F61*F61)/(2*Dimensions!$D$6-20000000000/C61)</f>
        <v>0.4840559323195156</v>
      </c>
      <c r="Z61" s="140">
        <f t="shared" si="23"/>
        <v>0.016218252548647255</v>
      </c>
      <c r="AA61" s="140">
        <f t="shared" si="17"/>
        <v>0.7892275654392434</v>
      </c>
    </row>
    <row r="62" spans="1:27" ht="10.5">
      <c r="A62" s="138">
        <f t="shared" si="9"/>
        <v>58</v>
      </c>
      <c r="B62" s="138">
        <f t="shared" si="10"/>
        <v>39</v>
      </c>
      <c r="C62" s="142">
        <f t="shared" si="11"/>
        <v>161055771.74149367</v>
      </c>
      <c r="D62" s="143">
        <f t="shared" si="12"/>
        <v>29.272585673186146</v>
      </c>
      <c r="E62" s="144">
        <f>(F62-D62)/Dimensions!$D$6</f>
        <v>0.12382963175595059</v>
      </c>
      <c r="F62" s="143">
        <f>SQRT(2*Dimensions!$D$6*Dimensions!$D$20+(D62*D62))</f>
        <v>30.48693953144564</v>
      </c>
      <c r="G62" s="145">
        <f t="shared" si="13"/>
        <v>74846923920.18292</v>
      </c>
      <c r="H62" s="142">
        <f>IF(Dimensions!$D$52="y",C62+Dimensions!$D$53,C62+LOOKUP(110-B63,'Tower Mass'!$A$8:$A$124,'Tower Mass'!$AC$8:$AC$124))</f>
        <v>164171682.53498146</v>
      </c>
      <c r="I62" s="143">
        <f t="shared" si="14"/>
        <v>29.90830999875385</v>
      </c>
      <c r="J62" s="145">
        <f t="shared" si="15"/>
        <v>73426360187.74652</v>
      </c>
      <c r="K62" s="145">
        <f t="shared" si="6"/>
        <v>1420563732.4364014</v>
      </c>
      <c r="L62" s="145">
        <f>IF(Dimensions!$D$63="y",Dimensions!$D$64,LOOKUP(110-B63,'Tower Mass'!$A$8:$A$124,'Tower Mass'!$AK$8:$AK$124))</f>
        <v>0</v>
      </c>
      <c r="M62" s="145">
        <f>IF(Dimensions!$D$57="y",Dimensions!$D$61,LOOKUP(110-B63,'Tower Mass'!$A$8:$A$124,'Tower Mass'!$AO$8:$AO$124))</f>
        <v>1382246070.9315257</v>
      </c>
      <c r="N62" s="145">
        <f t="shared" si="7"/>
        <v>72044114116.815</v>
      </c>
      <c r="O62" s="142">
        <f>IF(Dimensions!$D$66="y",((H62-C62)*(Dimensions!$D$67/100))+(H62*Dimensions!$D$68/100),0)</f>
        <v>1672875.9332846925</v>
      </c>
      <c r="P62" s="142">
        <f t="shared" si="19"/>
        <v>162498806.60169676</v>
      </c>
      <c r="Q62" s="143">
        <f t="shared" si="20"/>
        <v>29.625461607058828</v>
      </c>
      <c r="R62" s="144">
        <f t="shared" si="21"/>
        <v>10.749611115887605</v>
      </c>
      <c r="S62" s="138">
        <f t="shared" si="8"/>
      </c>
      <c r="U62" s="138">
        <f t="shared" si="18"/>
        <v>2814165751.38855</v>
      </c>
      <c r="V62" s="140">
        <f t="shared" si="22"/>
        <v>0.0033271005019277424</v>
      </c>
      <c r="W62" s="140">
        <f t="shared" si="16"/>
        <v>0.2756800636634647</v>
      </c>
      <c r="Y62" s="140">
        <f>(Q62*Q62-F62*F62)/(2*Dimensions!$D$6-20000000000/C62)</f>
        <v>0.49523621481232033</v>
      </c>
      <c r="Z62" s="140">
        <f t="shared" si="23"/>
        <v>0.016399840009426136</v>
      </c>
      <c r="AA62" s="140">
        <f t="shared" si="17"/>
        <v>0.8056274054486696</v>
      </c>
    </row>
    <row r="63" spans="1:27" ht="10.5">
      <c r="A63" s="138">
        <f t="shared" si="9"/>
        <v>59</v>
      </c>
      <c r="B63" s="138">
        <f t="shared" si="10"/>
        <v>38</v>
      </c>
      <c r="C63" s="142">
        <f t="shared" si="11"/>
        <v>162498806.60169676</v>
      </c>
      <c r="D63" s="143">
        <f t="shared" si="12"/>
        <v>29.625461607058828</v>
      </c>
      <c r="E63" s="144">
        <f>(F63-D63)/Dimensions!$D$6</f>
        <v>0.12241242661153669</v>
      </c>
      <c r="F63" s="143">
        <f>SQRT(2*Dimensions!$D$6*Dimensions!$D$20+(D63*D63))</f>
        <v>30.825917430488854</v>
      </c>
      <c r="G63" s="145">
        <f t="shared" si="13"/>
        <v>77206204310.57208</v>
      </c>
      <c r="H63" s="142">
        <f>IF(Dimensions!$D$52="y",C63+Dimensions!$D$53,C63+LOOKUP(110-B64,'Tower Mass'!$A$8:$A$124,'Tower Mass'!$AC$8:$AC$124))</f>
        <v>165626652.36638126</v>
      </c>
      <c r="I63" s="143">
        <f t="shared" si="14"/>
        <v>30.24377250453707</v>
      </c>
      <c r="J63" s="145">
        <f t="shared" si="15"/>
        <v>75748171465.55634</v>
      </c>
      <c r="K63" s="145">
        <f t="shared" si="6"/>
        <v>1458032845.015747</v>
      </c>
      <c r="L63" s="145">
        <f>IF(Dimensions!$D$63="y",Dimensions!$D$64,LOOKUP(110-B64,'Tower Mass'!$A$8:$A$124,'Tower Mass'!$AK$8:$AK$124))</f>
        <v>0</v>
      </c>
      <c r="M63" s="145">
        <f>IF(Dimensions!$D$57="y",Dimensions!$D$61,LOOKUP(110-B64,'Tower Mass'!$A$8:$A$124,'Tower Mass'!$AO$8:$AO$124))</f>
        <v>1406077899.74069</v>
      </c>
      <c r="N63" s="145">
        <f t="shared" si="7"/>
        <v>74342093565.81564</v>
      </c>
      <c r="O63" s="142">
        <f>IF(Dimensions!$D$66="y",((H63-C63)*(Dimensions!$D$67/100))+(H63*Dimensions!$D$68/100),0)</f>
        <v>1687544.9813106575</v>
      </c>
      <c r="P63" s="142">
        <f t="shared" si="19"/>
        <v>163939107.3850706</v>
      </c>
      <c r="Q63" s="143">
        <f t="shared" si="20"/>
        <v>29.961757138279637</v>
      </c>
      <c r="R63" s="144">
        <f t="shared" si="21"/>
        <v>10.872023542499141</v>
      </c>
      <c r="S63" s="138">
        <f t="shared" si="8"/>
      </c>
      <c r="U63" s="138">
        <f t="shared" si="18"/>
        <v>2888530859.1700745</v>
      </c>
      <c r="V63" s="140">
        <f t="shared" si="22"/>
        <v>0.0032901406645148433</v>
      </c>
      <c r="W63" s="140">
        <f t="shared" si="16"/>
        <v>0.27897020432797953</v>
      </c>
      <c r="Y63" s="140">
        <f>(Q63*Q63-F63*F63)/(2*Dimensions!$D$6-20000000000/C63)</f>
        <v>0.50771308932559</v>
      </c>
      <c r="Z63" s="140">
        <f t="shared" si="23"/>
        <v>0.01662733476674805</v>
      </c>
      <c r="AA63" s="140">
        <f t="shared" si="17"/>
        <v>0.8222547402154177</v>
      </c>
    </row>
    <row r="64" spans="1:27" ht="10.5">
      <c r="A64" s="138">
        <f t="shared" si="9"/>
        <v>60</v>
      </c>
      <c r="B64" s="138">
        <f t="shared" si="10"/>
        <v>37</v>
      </c>
      <c r="C64" s="142">
        <f t="shared" si="11"/>
        <v>163939107.3850706</v>
      </c>
      <c r="D64" s="143">
        <f t="shared" si="12"/>
        <v>29.961757138279637</v>
      </c>
      <c r="E64" s="144">
        <f>(F64-D64)/Dimensions!$D$6</f>
        <v>0.12109110476706497</v>
      </c>
      <c r="F64" s="143">
        <f>SQRT(2*Dimensions!$D$6*Dimensions!$D$20+(D64*D64))</f>
        <v>31.149255220843575</v>
      </c>
      <c r="G64" s="145">
        <f t="shared" si="13"/>
        <v>79533098942.19554</v>
      </c>
      <c r="H64" s="142">
        <f>IF(Dimensions!$D$52="y",C64+Dimensions!$D$53,C64+LOOKUP(110-B65,'Tower Mass'!$A$8:$A$124,'Tower Mass'!$AC$8:$AC$124))</f>
        <v>167078888.12095183</v>
      </c>
      <c r="I64" s="143">
        <f t="shared" si="14"/>
        <v>30.56389202756776</v>
      </c>
      <c r="J64" s="145">
        <f t="shared" si="15"/>
        <v>78038496633.47736</v>
      </c>
      <c r="K64" s="145">
        <f t="shared" si="6"/>
        <v>1494602308.7181854</v>
      </c>
      <c r="L64" s="145">
        <f>IF(Dimensions!$D$63="y",Dimensions!$D$64,LOOKUP(110-B65,'Tower Mass'!$A$8:$A$124,'Tower Mass'!$AK$8:$AK$124))</f>
        <v>0</v>
      </c>
      <c r="M64" s="145">
        <f>IF(Dimensions!$D$57="y",Dimensions!$D$61,LOOKUP(110-B65,'Tower Mass'!$A$8:$A$124,'Tower Mass'!$AO$8:$AO$124))</f>
        <v>1418304664.086261</v>
      </c>
      <c r="N64" s="145">
        <f t="shared" si="7"/>
        <v>76620191969.3911</v>
      </c>
      <c r="O64" s="142">
        <f>IF(Dimensions!$D$66="y",((H64-C64)*(Dimensions!$D$67/100))+(H64*Dimensions!$D$68/100),0)</f>
        <v>1702186.6885683306</v>
      </c>
      <c r="P64" s="142">
        <f t="shared" si="19"/>
        <v>165376701.4323835</v>
      </c>
      <c r="Q64" s="143">
        <f t="shared" si="20"/>
        <v>30.28487793023762</v>
      </c>
      <c r="R64" s="144">
        <f t="shared" si="21"/>
        <v>10.993114647266205</v>
      </c>
      <c r="S64" s="138">
        <f t="shared" si="8"/>
      </c>
      <c r="U64" s="138">
        <f t="shared" si="18"/>
        <v>2961117744.286255</v>
      </c>
      <c r="V64" s="140">
        <f t="shared" si="22"/>
        <v>0.003255519199858363</v>
      </c>
      <c r="W64" s="140">
        <f t="shared" si="16"/>
        <v>0.28222572352783787</v>
      </c>
      <c r="Y64" s="140">
        <f>(Q64*Q64-F64*F64)/(2*Dimensions!$D$6-20000000000/C64)</f>
        <v>0.5186618611877502</v>
      </c>
      <c r="Z64" s="140">
        <f t="shared" si="23"/>
        <v>0.016808796320174773</v>
      </c>
      <c r="AA64" s="140">
        <f t="shared" si="17"/>
        <v>0.8390635365355924</v>
      </c>
    </row>
    <row r="65" spans="1:27" ht="10.5">
      <c r="A65" s="138">
        <f t="shared" si="9"/>
        <v>61</v>
      </c>
      <c r="B65" s="138">
        <f t="shared" si="10"/>
        <v>36</v>
      </c>
      <c r="C65" s="142">
        <f t="shared" si="11"/>
        <v>165376701.4323835</v>
      </c>
      <c r="D65" s="143">
        <f t="shared" si="12"/>
        <v>30.28487793023762</v>
      </c>
      <c r="E65" s="144">
        <f>(F65-D65)/Dimensions!$D$6</f>
        <v>0.1198476449425188</v>
      </c>
      <c r="F65" s="143">
        <f>SQRT(2*Dimensions!$D$6*Dimensions!$D$20+(D65*D65))</f>
        <v>31.460181837513172</v>
      </c>
      <c r="G65" s="145">
        <f t="shared" si="13"/>
        <v>81840219713.7401</v>
      </c>
      <c r="H65" s="142">
        <f>IF(Dimensions!$D$52="y",C65+Dimensions!$D$53,C65+LOOKUP(110-B66,'Tower Mass'!$A$8:$A$124,'Tower Mass'!$AC$8:$AC$124))</f>
        <v>168528417.13946146</v>
      </c>
      <c r="I65" s="143">
        <f t="shared" si="14"/>
        <v>30.87183269777867</v>
      </c>
      <c r="J65" s="145">
        <f t="shared" si="15"/>
        <v>80309693821.9016</v>
      </c>
      <c r="K65" s="145">
        <f t="shared" si="6"/>
        <v>1530525891.838501</v>
      </c>
      <c r="L65" s="145">
        <f>IF(Dimensions!$D$63="y",Dimensions!$D$64,LOOKUP(110-B66,'Tower Mass'!$A$8:$A$124,'Tower Mass'!$AK$8:$AK$124))</f>
        <v>0</v>
      </c>
      <c r="M65" s="145">
        <f>IF(Dimensions!$D$57="y",Dimensions!$D$61,LOOKUP(110-B66,'Tower Mass'!$A$8:$A$124,'Tower Mass'!$AO$8:$AO$124))</f>
        <v>1443407401.5037167</v>
      </c>
      <c r="N65" s="145">
        <f t="shared" si="7"/>
        <v>78866286420.39787</v>
      </c>
      <c r="O65" s="142">
        <f>IF(Dimensions!$D$66="y",((H65-C65)*(Dimensions!$D$67/100))+(H65*Dimensions!$D$68/100),0)</f>
        <v>1716801.328465394</v>
      </c>
      <c r="P65" s="142">
        <f t="shared" si="19"/>
        <v>166811615.81099606</v>
      </c>
      <c r="Q65" s="143">
        <f t="shared" si="20"/>
        <v>30.593144835282605</v>
      </c>
      <c r="R65" s="144">
        <f t="shared" si="21"/>
        <v>11.112962292208724</v>
      </c>
      <c r="S65" s="138">
        <f t="shared" si="8"/>
      </c>
      <c r="U65" s="138">
        <f t="shared" si="18"/>
        <v>3032428821.595749</v>
      </c>
      <c r="V65" s="140">
        <f t="shared" si="22"/>
        <v>0.003223034295237553</v>
      </c>
      <c r="W65" s="140">
        <f t="shared" si="16"/>
        <v>0.28544875782307544</v>
      </c>
      <c r="Y65" s="140">
        <f>(Q65*Q65-F65*F65)/(2*Dimensions!$D$6-20000000000/C65)</f>
        <v>0.5310016407758392</v>
      </c>
      <c r="Z65" s="140">
        <f t="shared" si="23"/>
        <v>0.01703784627320815</v>
      </c>
      <c r="AA65" s="140">
        <f t="shared" si="17"/>
        <v>0.8561013828088005</v>
      </c>
    </row>
    <row r="66" spans="1:27" ht="10.5">
      <c r="A66" s="138">
        <f t="shared" si="9"/>
        <v>62</v>
      </c>
      <c r="B66" s="138">
        <f t="shared" si="10"/>
        <v>35</v>
      </c>
      <c r="C66" s="142">
        <f t="shared" si="11"/>
        <v>166811615.81099606</v>
      </c>
      <c r="D66" s="143">
        <f t="shared" si="12"/>
        <v>30.593144835282605</v>
      </c>
      <c r="E66" s="144">
        <f>(F66-D66)/Dimensions!$D$6</f>
        <v>0.11868448785039974</v>
      </c>
      <c r="F66" s="143">
        <f>SQRT(2*Dimensions!$D$6*Dimensions!$D$20+(D66*D66))</f>
        <v>31.757042068060727</v>
      </c>
      <c r="G66" s="145">
        <f t="shared" si="13"/>
        <v>84115568053.26198</v>
      </c>
      <c r="H66" s="142">
        <f>IF(Dimensions!$D$52="y",C66+Dimensions!$D$53,C66+LOOKUP(110-B67,'Tower Mass'!$A$8:$A$124,'Tower Mass'!$AC$8:$AC$124))</f>
        <v>169975266.48927072</v>
      </c>
      <c r="I66" s="143">
        <f t="shared" si="14"/>
        <v>31.165966732491487</v>
      </c>
      <c r="J66" s="145">
        <f t="shared" si="15"/>
        <v>82549973955.82924</v>
      </c>
      <c r="K66" s="145">
        <f t="shared" si="6"/>
        <v>1565594097.4327393</v>
      </c>
      <c r="L66" s="145">
        <f>IF(Dimensions!$D$63="y",Dimensions!$D$64,LOOKUP(110-B67,'Tower Mass'!$A$8:$A$124,'Tower Mass'!$AK$8:$AK$124))</f>
        <v>0</v>
      </c>
      <c r="M66" s="145">
        <f>IF(Dimensions!$D$57="y",Dimensions!$D$61,LOOKUP(110-B67,'Tower Mass'!$A$8:$A$124,'Tower Mass'!$AO$8:$AO$124))</f>
        <v>1456294967.5885713</v>
      </c>
      <c r="N66" s="145">
        <f t="shared" si="7"/>
        <v>81093678988.24066</v>
      </c>
      <c r="O66" s="142">
        <f>IF(Dimensions!$D$66="y",((H66-C66)*(Dimensions!$D$67/100))+(H66*Dimensions!$D$68/100),0)</f>
        <v>1731389.171675454</v>
      </c>
      <c r="P66" s="142">
        <f t="shared" si="19"/>
        <v>168243877.31759527</v>
      </c>
      <c r="Q66" s="143">
        <f t="shared" si="20"/>
        <v>30.889838253901292</v>
      </c>
      <c r="R66" s="144">
        <f t="shared" si="21"/>
        <v>11.231646780059124</v>
      </c>
      <c r="S66" s="138">
        <f t="shared" si="8"/>
      </c>
      <c r="U66" s="138">
        <f t="shared" si="18"/>
        <v>3102048703.3938904</v>
      </c>
      <c r="V66" s="140">
        <f t="shared" si="22"/>
        <v>0.0031924973593599093</v>
      </c>
      <c r="W66" s="140">
        <f t="shared" si="16"/>
        <v>0.28864125518243533</v>
      </c>
      <c r="Y66" s="140">
        <f>(Q66*Q66-F66*F66)/(2*Dimensions!$D$6-20000000000/C66)</f>
        <v>0.5417460967219251</v>
      </c>
      <c r="Z66" s="140">
        <f t="shared" si="23"/>
        <v>0.017219332229935283</v>
      </c>
      <c r="AA66" s="140">
        <f t="shared" si="17"/>
        <v>0.8733207150387359</v>
      </c>
    </row>
    <row r="67" spans="1:27" ht="10.5">
      <c r="A67" s="138">
        <f t="shared" si="9"/>
        <v>63</v>
      </c>
      <c r="B67" s="138">
        <f t="shared" si="10"/>
        <v>34</v>
      </c>
      <c r="C67" s="142">
        <f t="shared" si="11"/>
        <v>168243877.31759527</v>
      </c>
      <c r="D67" s="143">
        <f t="shared" si="12"/>
        <v>30.889838253901292</v>
      </c>
      <c r="E67" s="144">
        <f>(F67-D67)/Dimensions!$D$6</f>
        <v>0.11758574458766344</v>
      </c>
      <c r="F67" s="143">
        <f>SQRT(2*Dimensions!$D$6*Dimensions!$D$20+(D67*D67))</f>
        <v>32.0429604960619</v>
      </c>
      <c r="G67" s="145">
        <f t="shared" si="13"/>
        <v>86372311336.14006</v>
      </c>
      <c r="H67" s="142">
        <f>IF(Dimensions!$D$52="y",C67+Dimensions!$D$53,C67+LOOKUP(110-B68,'Tower Mass'!$A$8:$A$124,'Tower Mass'!$AC$8:$AC$124))</f>
        <v>171419462.96706665</v>
      </c>
      <c r="I67" s="143">
        <f t="shared" si="14"/>
        <v>31.44935715746422</v>
      </c>
      <c r="J67" s="145">
        <f t="shared" si="15"/>
        <v>84772244064.64583</v>
      </c>
      <c r="K67" s="145">
        <f t="shared" si="6"/>
        <v>1600067271.4942322</v>
      </c>
      <c r="L67" s="145">
        <f>IF(Dimensions!$D$63="y",Dimensions!$D$64,LOOKUP(110-B68,'Tower Mass'!$A$8:$A$124,'Tower Mass'!$AK$8:$AK$124))</f>
        <v>0</v>
      </c>
      <c r="M67" s="145">
        <f>IF(Dimensions!$D$57="y",Dimensions!$D$61,LOOKUP(110-B68,'Tower Mass'!$A$8:$A$124,'Tower Mass'!$AO$8:$AO$124))</f>
        <v>1482773057.9083638</v>
      </c>
      <c r="N67" s="145">
        <f t="shared" si="7"/>
        <v>83289471006.73746</v>
      </c>
      <c r="O67" s="142">
        <f>IF(Dimensions!$D$66="y",((H67-C67)*(Dimensions!$D$67/100))+(H67*Dimensions!$D$68/100),0)</f>
        <v>1745950.4861653803</v>
      </c>
      <c r="P67" s="142">
        <f t="shared" si="19"/>
        <v>169673512.48090127</v>
      </c>
      <c r="Q67" s="143">
        <f t="shared" si="20"/>
        <v>31.17309941947584</v>
      </c>
      <c r="R67" s="144">
        <f t="shared" si="21"/>
        <v>11.349232524646787</v>
      </c>
      <c r="S67" s="138">
        <f t="shared" si="8"/>
      </c>
      <c r="U67" s="138">
        <f t="shared" si="18"/>
        <v>3170492922.500351</v>
      </c>
      <c r="V67" s="140">
        <f t="shared" si="22"/>
        <v>0.0031637530125606965</v>
      </c>
      <c r="W67" s="140">
        <f t="shared" si="16"/>
        <v>0.29180500819499605</v>
      </c>
      <c r="Y67" s="140">
        <f>(Q67*Q67-F67*F67)/(2*Dimensions!$D$6-20000000000/C67)</f>
        <v>0.5539816467471889</v>
      </c>
      <c r="Z67" s="140">
        <f t="shared" si="23"/>
        <v>0.01745035201802632</v>
      </c>
      <c r="AA67" s="140">
        <f t="shared" si="17"/>
        <v>0.8907710670567622</v>
      </c>
    </row>
    <row r="68" spans="1:27" ht="10.5">
      <c r="A68" s="138">
        <f t="shared" si="9"/>
        <v>64</v>
      </c>
      <c r="B68" s="138">
        <f t="shared" si="10"/>
        <v>33</v>
      </c>
      <c r="C68" s="142">
        <f t="shared" si="11"/>
        <v>169673512.48090127</v>
      </c>
      <c r="D68" s="143">
        <f t="shared" si="12"/>
        <v>31.17309941947584</v>
      </c>
      <c r="E68" s="144">
        <f>(F68-D68)/Dimensions!$D$6</f>
        <v>0.11655522878645543</v>
      </c>
      <c r="F68" s="143">
        <f>SQRT(2*Dimensions!$D$6*Dimensions!$D$20+(D68*D68))</f>
        <v>32.31611575385453</v>
      </c>
      <c r="G68" s="145">
        <f t="shared" si="13"/>
        <v>88597683106.66956</v>
      </c>
      <c r="H68" s="142">
        <f>IF(Dimensions!$D$52="y",C68+Dimensions!$D$53,C68+LOOKUP(110-B69,'Tower Mass'!$A$8:$A$124,'Tower Mass'!$AC$8:$AC$124))</f>
        <v>172861033.10156935</v>
      </c>
      <c r="I68" s="143">
        <f t="shared" si="14"/>
        <v>31.720213464616318</v>
      </c>
      <c r="J68" s="145">
        <f t="shared" si="15"/>
        <v>86963960706.78091</v>
      </c>
      <c r="K68" s="145">
        <f t="shared" si="6"/>
        <v>1633722399.8886414</v>
      </c>
      <c r="L68" s="145">
        <f>IF(Dimensions!$D$63="y",Dimensions!$D$64,LOOKUP(110-B69,'Tower Mass'!$A$8:$A$124,'Tower Mass'!$AK$8:$AK$124))</f>
        <v>0</v>
      </c>
      <c r="M68" s="145">
        <f>IF(Dimensions!$D$57="y",Dimensions!$D$61,LOOKUP(110-B69,'Tower Mass'!$A$8:$A$124,'Tower Mass'!$AO$8:$AO$124))</f>
        <v>1496376480.4579816</v>
      </c>
      <c r="N68" s="145">
        <f t="shared" si="7"/>
        <v>85467584226.32294</v>
      </c>
      <c r="O68" s="142">
        <f>IF(Dimensions!$D$66="y",((H68-C68)*(Dimensions!$D$67/100))+(H68*Dimensions!$D$68/100),0)</f>
        <v>1760485.5372223742</v>
      </c>
      <c r="P68" s="142">
        <f t="shared" si="19"/>
        <v>171100547.56434697</v>
      </c>
      <c r="Q68" s="143">
        <f t="shared" si="20"/>
        <v>31.446126709013072</v>
      </c>
      <c r="R68" s="144">
        <f t="shared" si="21"/>
        <v>11.465787753433242</v>
      </c>
      <c r="S68" s="138">
        <f t="shared" si="8"/>
      </c>
      <c r="U68" s="138">
        <f t="shared" si="18"/>
        <v>3237319306.803787</v>
      </c>
      <c r="V68" s="140">
        <f t="shared" si="22"/>
        <v>0.0031366525434934544</v>
      </c>
      <c r="W68" s="140">
        <f t="shared" si="16"/>
        <v>0.2949416607384895</v>
      </c>
      <c r="Y68" s="140">
        <f>(Q68*Q68-F68*F68)/(2*Dimensions!$D$6-20000000000/C68)</f>
        <v>0.5645468690590496</v>
      </c>
      <c r="Z68" s="140">
        <f t="shared" si="23"/>
        <v>0.017632080912477095</v>
      </c>
      <c r="AA68" s="140">
        <f t="shared" si="17"/>
        <v>0.9084031479692394</v>
      </c>
    </row>
    <row r="69" spans="1:27" ht="10.5">
      <c r="A69" s="138">
        <f t="shared" si="9"/>
        <v>65</v>
      </c>
      <c r="B69" s="138">
        <f t="shared" si="10"/>
        <v>32</v>
      </c>
      <c r="C69" s="142">
        <f t="shared" si="11"/>
        <v>171100547.56434697</v>
      </c>
      <c r="D69" s="143">
        <f t="shared" si="12"/>
        <v>31.446126709013072</v>
      </c>
      <c r="E69" s="144">
        <f>(F69-D69)/Dimensions!$D$6</f>
        <v>0.11557860184824985</v>
      </c>
      <c r="F69" s="143">
        <f>SQRT(2*Dimensions!$D$6*Dimensions!$D$20+(D69*D69))</f>
        <v>32.57956560482821</v>
      </c>
      <c r="G69" s="145">
        <f t="shared" si="13"/>
        <v>90805464127.28142</v>
      </c>
      <c r="H69" s="142">
        <f>IF(Dimensions!$D$52="y",C69+Dimensions!$D$53,C69+LOOKUP(110-B70,'Tower Mass'!$A$8:$A$124,'Tower Mass'!$AC$8:$AC$124))</f>
        <v>174300003.15621176</v>
      </c>
      <c r="I69" s="143">
        <f t="shared" si="14"/>
        <v>31.981534213735955</v>
      </c>
      <c r="J69" s="145">
        <f t="shared" si="15"/>
        <v>89138636561.51521</v>
      </c>
      <c r="K69" s="145">
        <f t="shared" si="6"/>
        <v>1666827565.7662048</v>
      </c>
      <c r="L69" s="145">
        <f>IF(Dimensions!$D$63="y",Dimensions!$D$64,LOOKUP(110-B70,'Tower Mass'!$A$8:$A$124,'Tower Mass'!$AK$8:$AK$124))</f>
        <v>0</v>
      </c>
      <c r="M69" s="145">
        <f>IF(Dimensions!$D$57="y",Dimensions!$D$61,LOOKUP(110-B70,'Tower Mass'!$A$8:$A$124,'Tower Mass'!$AO$8:$AO$124))</f>
        <v>1524346134.298318</v>
      </c>
      <c r="N69" s="145">
        <f t="shared" si="7"/>
        <v>87614290427.21689</v>
      </c>
      <c r="O69" s="142">
        <f>IF(Dimensions!$D$66="y",((H69-C69)*(Dimensions!$D$67/100))+(H69*Dimensions!$D$68/100),0)</f>
        <v>1774994.5874807655</v>
      </c>
      <c r="P69" s="142">
        <f aca="true" t="shared" si="24" ref="P69:P100">H69-O69</f>
        <v>172525008.568731</v>
      </c>
      <c r="Q69" s="143">
        <f aca="true" t="shared" si="25" ref="Q69:Q100">SQRT(2*N69/H69)</f>
        <v>31.706899376187472</v>
      </c>
      <c r="R69" s="144">
        <f aca="true" t="shared" si="26" ref="R69:R100">IF(ISERROR(R68+E69),R68,R68+E69)</f>
        <v>11.581366355281492</v>
      </c>
      <c r="S69" s="138">
        <f t="shared" si="8"/>
      </c>
      <c r="U69" s="138">
        <f t="shared" si="18"/>
        <v>3303058799.4647217</v>
      </c>
      <c r="V69" s="140">
        <f aca="true" t="shared" si="27" ref="V69:V100">2*0.1/(F69+Q69)</f>
        <v>0.0031110747815898984</v>
      </c>
      <c r="W69" s="140">
        <f t="shared" si="16"/>
        <v>0.2980527355200794</v>
      </c>
      <c r="Y69" s="140">
        <f>(Q69*Q69-F69*F69)/(2*Dimensions!$D$6-20000000000/C69)</f>
        <v>0.5767098888031102</v>
      </c>
      <c r="Z69" s="140">
        <f aca="true" t="shared" si="28" ref="Z69:Z100">2*Y69/(I69+F69)</f>
        <v>0.017865553419128113</v>
      </c>
      <c r="AA69" s="140">
        <f t="shared" si="17"/>
        <v>0.9262687013883675</v>
      </c>
    </row>
    <row r="70" spans="1:27" ht="10.5">
      <c r="A70" s="138">
        <f t="shared" si="9"/>
        <v>66</v>
      </c>
      <c r="B70" s="138">
        <f t="shared" si="10"/>
        <v>31</v>
      </c>
      <c r="C70" s="142">
        <f t="shared" si="11"/>
        <v>172525008.568731</v>
      </c>
      <c r="D70" s="143">
        <f t="shared" si="12"/>
        <v>31.706899376187472</v>
      </c>
      <c r="E70" s="144">
        <f>(F70-D70)/Dimensions!$D$6</f>
        <v>0.1146607102237284</v>
      </c>
      <c r="F70" s="143">
        <f>SQRT(2*Dimensions!$D$6*Dimensions!$D$20+(D70*D70))</f>
        <v>32.831336830103</v>
      </c>
      <c r="G70" s="145">
        <f t="shared" si="13"/>
        <v>92982066808.53618</v>
      </c>
      <c r="H70" s="142">
        <f>IF(Dimensions!$D$52="y",C70+Dimensions!$D$53,C70+LOOKUP(110-B71,'Tower Mass'!$A$8:$A$124,'Tower Mass'!$AC$8:$AC$124))</f>
        <v>175736399.13179252</v>
      </c>
      <c r="I70" s="143">
        <f t="shared" si="14"/>
        <v>32.231380043746995</v>
      </c>
      <c r="J70" s="145">
        <f t="shared" si="15"/>
        <v>91282921194.09264</v>
      </c>
      <c r="K70" s="145">
        <f aca="true" t="shared" si="29" ref="K70:K121">G70-J70</f>
        <v>1699145614.4435425</v>
      </c>
      <c r="L70" s="145">
        <f>IF(Dimensions!$D$63="y",Dimensions!$D$64,LOOKUP(110-B71,'Tower Mass'!$A$8:$A$124,'Tower Mass'!$AK$8:$AK$124))</f>
        <v>0</v>
      </c>
      <c r="M70" s="145">
        <f>IF(Dimensions!$D$57="y",Dimensions!$D$61,LOOKUP(110-B71,'Tower Mass'!$A$8:$A$124,'Tower Mass'!$AO$8:$AO$124))</f>
        <v>1553381298.7611427</v>
      </c>
      <c r="N70" s="145">
        <f aca="true" t="shared" si="30" ref="N70:N121">MAX(J70-M70-L70,0)</f>
        <v>89729539895.3315</v>
      </c>
      <c r="O70" s="142">
        <f>IF(Dimensions!$D$66="y",((H70-C70)*(Dimensions!$D$67/100))+(H70*Dimensions!$D$68/100),0)</f>
        <v>1789477.8969485401</v>
      </c>
      <c r="P70" s="142">
        <f t="shared" si="24"/>
        <v>173946921.23484397</v>
      </c>
      <c r="Q70" s="143">
        <f t="shared" si="25"/>
        <v>31.955959093659686</v>
      </c>
      <c r="R70" s="144">
        <f t="shared" si="26"/>
        <v>11.69602706550522</v>
      </c>
      <c r="S70" s="138">
        <f aca="true" t="shared" si="31" ref="S70:S121">IF(N70=0,B70,"")</f>
      </c>
      <c r="U70" s="138">
        <f t="shared" si="18"/>
        <v>3367241200.444214</v>
      </c>
      <c r="V70" s="140">
        <f t="shared" si="27"/>
        <v>0.0030870249660573347</v>
      </c>
      <c r="W70" s="140">
        <f t="shared" si="16"/>
        <v>0.3011397604861367</v>
      </c>
      <c r="Y70" s="140">
        <f>(Q70*Q70-F70*F70)/(2*Dimensions!$D$6-20000000000/C70)</f>
        <v>0.5888508400773054</v>
      </c>
      <c r="Z70" s="140">
        <f t="shared" si="28"/>
        <v>0.018101022163554203</v>
      </c>
      <c r="AA70" s="140">
        <f t="shared" si="17"/>
        <v>0.9443697235519217</v>
      </c>
    </row>
    <row r="71" spans="1:27" ht="10.5">
      <c r="A71" s="138">
        <f aca="true" t="shared" si="32" ref="A71:A121">A70+1</f>
        <v>67</v>
      </c>
      <c r="B71" s="138">
        <f aca="true" t="shared" si="33" ref="B71:B109">B70-1</f>
        <v>30</v>
      </c>
      <c r="C71" s="142">
        <f aca="true" t="shared" si="34" ref="C71:C109">P70</f>
        <v>173946921.23484397</v>
      </c>
      <c r="D71" s="143">
        <f aca="true" t="shared" si="35" ref="D71:D109">Q70</f>
        <v>31.955959093659686</v>
      </c>
      <c r="E71" s="144">
        <f>(F71-D71)/Dimensions!$D$6</f>
        <v>0.11379732821648576</v>
      </c>
      <c r="F71" s="143">
        <f>SQRT(2*Dimensions!$D$6*Dimensions!$D$20+(D71*D71))</f>
        <v>33.071929662413886</v>
      </c>
      <c r="G71" s="145">
        <f aca="true" t="shared" si="36" ref="G71:G109">0.5*C71*F71*F71</f>
        <v>95127442731.93999</v>
      </c>
      <c r="H71" s="142">
        <f>IF(Dimensions!$D$52="y",C71+Dimensions!$D$53,C71+LOOKUP(110-B72,'Tower Mass'!$A$8:$A$124,'Tower Mass'!$AC$8:$AC$124))</f>
        <v>177170246.76910222</v>
      </c>
      <c r="I71" s="143">
        <f aca="true" t="shared" si="37" ref="I71:I109">C71*F71/H71</f>
        <v>32.47023949551481</v>
      </c>
      <c r="J71" s="145">
        <f aca="true" t="shared" si="38" ref="J71:J109">0.5*H71*I71*I71</f>
        <v>93396753066.1624</v>
      </c>
      <c r="K71" s="145">
        <f t="shared" si="29"/>
        <v>1730689665.777588</v>
      </c>
      <c r="L71" s="145">
        <f>IF(Dimensions!$D$63="y",Dimensions!$D$64,LOOKUP(110-B72,'Tower Mass'!$A$8:$A$124,'Tower Mass'!$AK$8:$AK$124))</f>
        <v>0</v>
      </c>
      <c r="M71" s="145">
        <f>IF(Dimensions!$D$57="y",Dimensions!$D$61,LOOKUP(110-B72,'Tower Mass'!$A$8:$A$124,'Tower Mass'!$AO$8:$AO$124))</f>
        <v>1568317657.4030771</v>
      </c>
      <c r="N71" s="145">
        <f t="shared" si="30"/>
        <v>91828435408.75932</v>
      </c>
      <c r="O71" s="142">
        <f>IF(Dimensions!$D$66="y",((H71-C71)*(Dimensions!$D$67/100))+(H71*Dimensions!$D$68/100),0)</f>
        <v>1803935.7230336047</v>
      </c>
      <c r="P71" s="142">
        <f t="shared" si="24"/>
        <v>175366311.0460686</v>
      </c>
      <c r="Q71" s="143">
        <f t="shared" si="25"/>
        <v>32.19646530318079</v>
      </c>
      <c r="R71" s="144">
        <f t="shared" si="26"/>
        <v>11.809824393721705</v>
      </c>
      <c r="S71" s="138">
        <f t="shared" si="31"/>
      </c>
      <c r="U71" s="138">
        <f t="shared" si="18"/>
        <v>3429892237.6818695</v>
      </c>
      <c r="V71" s="140">
        <f t="shared" si="27"/>
        <v>0.0030642702353172197</v>
      </c>
      <c r="W71" s="140">
        <f aca="true" t="shared" si="39" ref="W71:W121">W70+V71</f>
        <v>0.30420403072145397</v>
      </c>
      <c r="Y71" s="140">
        <f>(Q71*Q71-F71*F71)/(2*Dimensions!$D$6-20000000000/C71)</f>
        <v>0.5991775954011197</v>
      </c>
      <c r="Z71" s="140">
        <f t="shared" si="28"/>
        <v>0.0182837279601582</v>
      </c>
      <c r="AA71" s="140">
        <f aca="true" t="shared" si="40" ref="AA71:AA121">AA70+Z71</f>
        <v>0.9626534515120799</v>
      </c>
    </row>
    <row r="72" spans="1:27" ht="10.5">
      <c r="A72" s="138">
        <f t="shared" si="32"/>
        <v>68</v>
      </c>
      <c r="B72" s="138">
        <f t="shared" si="33"/>
        <v>29</v>
      </c>
      <c r="C72" s="142">
        <f t="shared" si="34"/>
        <v>175366311.0460686</v>
      </c>
      <c r="D72" s="143">
        <f t="shared" si="35"/>
        <v>32.19646530318079</v>
      </c>
      <c r="E72" s="144">
        <f>(F72-D72)/Dimensions!$D$6</f>
        <v>0.11297564484530852</v>
      </c>
      <c r="F72" s="143">
        <f>SQRT(2*Dimensions!$D$6*Dimensions!$D$20+(D72*D72))</f>
        <v>33.30437791070303</v>
      </c>
      <c r="G72" s="145">
        <f t="shared" si="36"/>
        <v>97256541685.54948</v>
      </c>
      <c r="H72" s="142">
        <f>IF(Dimensions!$D$52="y",C72+Dimensions!$D$53,C72+LOOKUP(110-B73,'Tower Mass'!$A$8:$A$124,'Tower Mass'!$AC$8:$AC$124))</f>
        <v>178601571.55152357</v>
      </c>
      <c r="I72" s="143">
        <f t="shared" si="37"/>
        <v>32.701089050603834</v>
      </c>
      <c r="J72" s="145">
        <f t="shared" si="38"/>
        <v>95494797679.16139</v>
      </c>
      <c r="K72" s="145">
        <f t="shared" si="29"/>
        <v>1761744006.388092</v>
      </c>
      <c r="L72" s="145">
        <f>IF(Dimensions!$D$63="y",Dimensions!$D$64,LOOKUP(110-B73,'Tower Mass'!$A$8:$A$124,'Tower Mass'!$AK$8:$AK$124))</f>
        <v>0</v>
      </c>
      <c r="M72" s="145">
        <f>IF(Dimensions!$D$57="y",Dimensions!$D$61,LOOKUP(110-B73,'Tower Mass'!$A$8:$A$124,'Tower Mass'!$AO$8:$AO$124))</f>
        <v>1599068984.0188236</v>
      </c>
      <c r="N72" s="145">
        <f t="shared" si="30"/>
        <v>93895728695.14256</v>
      </c>
      <c r="O72" s="142">
        <f>IF(Dimensions!$D$66="y",((H72-C72)*(Dimensions!$D$67/100))+(H72*Dimensions!$D$68/100),0)</f>
        <v>1818368.3205697853</v>
      </c>
      <c r="P72" s="142">
        <f t="shared" si="24"/>
        <v>176783203.23095378</v>
      </c>
      <c r="Q72" s="143">
        <f t="shared" si="25"/>
        <v>32.42614184747359</v>
      </c>
      <c r="R72" s="144">
        <f t="shared" si="26"/>
        <v>11.922800038567013</v>
      </c>
      <c r="S72" s="138">
        <f t="shared" si="31"/>
      </c>
      <c r="U72" s="138">
        <f t="shared" si="18"/>
        <v>3491575075.196335</v>
      </c>
      <c r="V72" s="140">
        <f t="shared" si="27"/>
        <v>0.0030427265863072804</v>
      </c>
      <c r="W72" s="140">
        <f t="shared" si="39"/>
        <v>0.30724675730776124</v>
      </c>
      <c r="Y72" s="140">
        <f>(Q72*Q72-F72*F72)/(2*Dimensions!$D$6-20000000000/C72)</f>
        <v>0.6112957423910541</v>
      </c>
      <c r="Z72" s="140">
        <f t="shared" si="28"/>
        <v>0.01852257912967732</v>
      </c>
      <c r="AA72" s="140">
        <f t="shared" si="40"/>
        <v>0.9811760306417573</v>
      </c>
    </row>
    <row r="73" spans="1:27" ht="10.5">
      <c r="A73" s="138">
        <f t="shared" si="32"/>
        <v>69</v>
      </c>
      <c r="B73" s="138">
        <f t="shared" si="33"/>
        <v>28</v>
      </c>
      <c r="C73" s="142">
        <f t="shared" si="34"/>
        <v>176783203.23095378</v>
      </c>
      <c r="D73" s="143">
        <f t="shared" si="35"/>
        <v>32.42614184747359</v>
      </c>
      <c r="E73" s="144">
        <f>(F73-D73)/Dimensions!$D$6</f>
        <v>0.11220178100599724</v>
      </c>
      <c r="F73" s="143">
        <f>SQRT(2*Dimensions!$D$6*Dimensions!$D$20+(D73*D73))</f>
        <v>33.52646544317605</v>
      </c>
      <c r="G73" s="145">
        <f t="shared" si="36"/>
        <v>99354271459.14272</v>
      </c>
      <c r="H73" s="142">
        <f>IF(Dimensions!$D$52="y",C73+Dimensions!$D$53,C73+LOOKUP(110-B74,'Tower Mass'!$A$8:$A$124,'Tower Mass'!$AC$8:$AC$124))</f>
        <v>180030398.70760545</v>
      </c>
      <c r="I73" s="143">
        <f t="shared" si="37"/>
        <v>32.921750974304516</v>
      </c>
      <c r="J73" s="145">
        <f t="shared" si="38"/>
        <v>97562225542.54094</v>
      </c>
      <c r="K73" s="145">
        <f t="shared" si="29"/>
        <v>1792045916.6017761</v>
      </c>
      <c r="L73" s="145">
        <f>IF(Dimensions!$D$63="y",Dimensions!$D$64,LOOKUP(110-B74,'Tower Mass'!$A$8:$A$124,'Tower Mass'!$AK$8:$AK$124))</f>
        <v>0</v>
      </c>
      <c r="M73" s="145">
        <f>IF(Dimensions!$D$57="y",Dimensions!$D$61,LOOKUP(110-B74,'Tower Mass'!$A$8:$A$124,'Tower Mass'!$AO$8:$AO$124))</f>
        <v>1614901350.1972277</v>
      </c>
      <c r="N73" s="145">
        <f t="shared" si="30"/>
        <v>95947324192.3437</v>
      </c>
      <c r="O73" s="142">
        <f>IF(Dimensions!$D$66="y",((H73-C73)*(Dimensions!$D$67/100))+(H73*Dimensions!$D$68/100),0)</f>
        <v>1832775.9418425711</v>
      </c>
      <c r="P73" s="142">
        <f t="shared" si="24"/>
        <v>178197622.76576287</v>
      </c>
      <c r="Q73" s="143">
        <f t="shared" si="25"/>
        <v>32.64814494990871</v>
      </c>
      <c r="R73" s="144">
        <f t="shared" si="26"/>
        <v>12.03500181957301</v>
      </c>
      <c r="S73" s="138">
        <f t="shared" si="31"/>
      </c>
      <c r="U73" s="138">
        <f t="shared" si="18"/>
        <v>3551768828.6658783</v>
      </c>
      <c r="V73" s="140">
        <f t="shared" si="27"/>
        <v>0.003022307178115249</v>
      </c>
      <c r="W73" s="140">
        <f t="shared" si="39"/>
        <v>0.3102690644858765</v>
      </c>
      <c r="Y73" s="140">
        <f>(Q73*Q73-F73*F73)/(2*Dimensions!$D$6-20000000000/C73)</f>
        <v>0.6215007760050527</v>
      </c>
      <c r="Z73" s="140">
        <f t="shared" si="28"/>
        <v>0.01870631928177847</v>
      </c>
      <c r="AA73" s="140">
        <f t="shared" si="40"/>
        <v>0.9998823499235358</v>
      </c>
    </row>
    <row r="74" spans="1:27" ht="10.5">
      <c r="A74" s="138">
        <f t="shared" si="32"/>
        <v>70</v>
      </c>
      <c r="B74" s="138">
        <f t="shared" si="33"/>
        <v>27</v>
      </c>
      <c r="C74" s="142">
        <f t="shared" si="34"/>
        <v>178197622.76576287</v>
      </c>
      <c r="D74" s="143">
        <f t="shared" si="35"/>
        <v>32.64814494990871</v>
      </c>
      <c r="E74" s="144">
        <f>(F74-D74)/Dimensions!$D$6</f>
        <v>0.11146361965260601</v>
      </c>
      <c r="F74" s="143">
        <f>SQRT(2*Dimensions!$D$6*Dimensions!$D$20+(D74*D74))</f>
        <v>33.74122965557494</v>
      </c>
      <c r="G74" s="145">
        <f t="shared" si="36"/>
        <v>101436375353.90047</v>
      </c>
      <c r="H74" s="142">
        <f>IF(Dimensions!$D$52="y",C74+Dimensions!$D$53,C74+LOOKUP(110-B75,'Tower Mass'!$A$8:$A$124,'Tower Mass'!$AC$8:$AC$124))</f>
        <v>181456753.21361125</v>
      </c>
      <c r="I74" s="143">
        <f t="shared" si="37"/>
        <v>33.13520608813639</v>
      </c>
      <c r="J74" s="145">
        <f t="shared" si="38"/>
        <v>99614484608.14189</v>
      </c>
      <c r="K74" s="145">
        <f t="shared" si="29"/>
        <v>1821890745.7585754</v>
      </c>
      <c r="L74" s="145">
        <f>IF(Dimensions!$D$63="y",Dimensions!$D$64,LOOKUP(110-B75,'Tower Mass'!$A$8:$A$124,'Tower Mass'!$AK$8:$AK$124))</f>
        <v>0</v>
      </c>
      <c r="M74" s="145">
        <f>IF(Dimensions!$D$57="y",Dimensions!$D$61,LOOKUP(110-B75,'Tower Mass'!$A$8:$A$124,'Tower Mass'!$AO$8:$AO$124))</f>
        <v>1647525619.8981814</v>
      </c>
      <c r="N74" s="145">
        <f t="shared" si="30"/>
        <v>97966958988.24371</v>
      </c>
      <c r="O74" s="142">
        <f>IF(Dimensions!$D$66="y",((H74-C74)*(Dimensions!$D$67/100))+(H74*Dimensions!$D$68/100),0)</f>
        <v>1847158.8366145962</v>
      </c>
      <c r="P74" s="142">
        <f t="shared" si="24"/>
        <v>179609594.37699664</v>
      </c>
      <c r="Q74" s="143">
        <f t="shared" si="25"/>
        <v>32.860051786684636</v>
      </c>
      <c r="R74" s="144">
        <f t="shared" si="26"/>
        <v>12.146465439225615</v>
      </c>
      <c r="S74" s="138">
        <f t="shared" si="31"/>
      </c>
      <c r="U74" s="138">
        <f t="shared" si="18"/>
        <v>3611058655.3757477</v>
      </c>
      <c r="V74" s="140">
        <f t="shared" si="27"/>
        <v>0.0030029452237100174</v>
      </c>
      <c r="W74" s="140">
        <f t="shared" si="39"/>
        <v>0.3132720097095865</v>
      </c>
      <c r="Y74" s="140">
        <f>(Q74*Q74-F74*F74)/(2*Dimensions!$D$6-20000000000/C74)</f>
        <v>0.633627017035524</v>
      </c>
      <c r="Z74" s="140">
        <f t="shared" si="28"/>
        <v>0.018949186211530616</v>
      </c>
      <c r="AA74" s="140">
        <f t="shared" si="40"/>
        <v>1.0188315361350664</v>
      </c>
    </row>
    <row r="75" spans="1:27" ht="10.5">
      <c r="A75" s="138">
        <f t="shared" si="32"/>
        <v>71</v>
      </c>
      <c r="B75" s="138">
        <f t="shared" si="33"/>
        <v>26</v>
      </c>
      <c r="C75" s="142">
        <f t="shared" si="34"/>
        <v>179609594.37699664</v>
      </c>
      <c r="D75" s="143">
        <f t="shared" si="35"/>
        <v>32.860051786684636</v>
      </c>
      <c r="E75" s="144">
        <f>(F75-D75)/Dimensions!$D$6</f>
        <v>0.11076788786122</v>
      </c>
      <c r="F75" s="143">
        <f>SQRT(2*Dimensions!$D$6*Dimensions!$D$20+(D75*D75))</f>
        <v>33.94631369417887</v>
      </c>
      <c r="G75" s="145">
        <f t="shared" si="36"/>
        <v>103486756816.22316</v>
      </c>
      <c r="H75" s="142">
        <f>IF(Dimensions!$D$52="y",C75+Dimensions!$D$53,C75+LOOKUP(110-B76,'Tower Mass'!$A$8:$A$124,'Tower Mass'!$AC$8:$AC$124))</f>
        <v>182880659.79604173</v>
      </c>
      <c r="I75" s="143">
        <f t="shared" si="37"/>
        <v>33.33913843052375</v>
      </c>
      <c r="J75" s="145">
        <f t="shared" si="38"/>
        <v>101635757634.96365</v>
      </c>
      <c r="K75" s="145">
        <f t="shared" si="29"/>
        <v>1850999181.2595062</v>
      </c>
      <c r="L75" s="145">
        <f>IF(Dimensions!$D$63="y",Dimensions!$D$64,LOOKUP(110-B76,'Tower Mass'!$A$8:$A$124,'Tower Mass'!$AK$8:$AK$124))</f>
        <v>0</v>
      </c>
      <c r="M75" s="145">
        <f>IF(Dimensions!$D$57="y",Dimensions!$D$61,LOOKUP(110-B76,'Tower Mass'!$A$8:$A$124,'Tower Mass'!$AO$8:$AO$124))</f>
        <v>1664337105.8155105</v>
      </c>
      <c r="N75" s="145">
        <f t="shared" si="30"/>
        <v>99971420529.14815</v>
      </c>
      <c r="O75" s="142">
        <f>IF(Dimensions!$D$66="y",((H75-C75)*(Dimensions!$D$67/100))+(H75*Dimensions!$D$68/100),0)</f>
        <v>1861517.252150868</v>
      </c>
      <c r="P75" s="142">
        <f t="shared" si="24"/>
        <v>181019142.54389086</v>
      </c>
      <c r="Q75" s="143">
        <f t="shared" si="25"/>
        <v>33.06503901461833</v>
      </c>
      <c r="R75" s="144">
        <f t="shared" si="26"/>
        <v>12.257233327086835</v>
      </c>
      <c r="S75" s="138">
        <f t="shared" si="31"/>
      </c>
      <c r="U75" s="138">
        <f t="shared" si="18"/>
        <v>3668890764.2675323</v>
      </c>
      <c r="V75" s="140">
        <f t="shared" si="27"/>
        <v>0.0029845689113173826</v>
      </c>
      <c r="W75" s="140">
        <f t="shared" si="39"/>
        <v>0.3162565786209039</v>
      </c>
      <c r="Y75" s="140">
        <f>(Q75*Q75-F75*F75)/(2*Dimensions!$D$6-20000000000/C75)</f>
        <v>0.6437305670282409</v>
      </c>
      <c r="Z75" s="140">
        <f t="shared" si="28"/>
        <v>0.01913431645923078</v>
      </c>
      <c r="AA75" s="140">
        <f t="shared" si="40"/>
        <v>1.0379658525942972</v>
      </c>
    </row>
    <row r="76" spans="1:27" ht="10.5">
      <c r="A76" s="138">
        <f t="shared" si="32"/>
        <v>72</v>
      </c>
      <c r="B76" s="138">
        <f t="shared" si="33"/>
        <v>25</v>
      </c>
      <c r="C76" s="142">
        <f t="shared" si="34"/>
        <v>181019142.54389086</v>
      </c>
      <c r="D76" s="143">
        <f t="shared" si="35"/>
        <v>33.06503901461833</v>
      </c>
      <c r="E76" s="144">
        <f>(F76-D76)/Dimensions!$D$6</f>
        <v>0.1101029594523558</v>
      </c>
      <c r="F76" s="143">
        <f>SQRT(2*Dimensions!$D$6*Dimensions!$D$20+(D76*D76))</f>
        <v>34.14478020193177</v>
      </c>
      <c r="G76" s="145">
        <f t="shared" si="36"/>
        <v>105522033181.64186</v>
      </c>
      <c r="H76" s="142">
        <f>IF(Dimensions!$D$52="y",C76+Dimensions!$D$53,C76+LOOKUP(110-B77,'Tower Mass'!$A$8:$A$124,'Tower Mass'!$AC$8:$AC$124))</f>
        <v>184302142.88211885</v>
      </c>
      <c r="I76" s="143">
        <f t="shared" si="37"/>
        <v>33.53655436582003</v>
      </c>
      <c r="J76" s="145">
        <f t="shared" si="38"/>
        <v>103642354165.38965</v>
      </c>
      <c r="K76" s="145">
        <f t="shared" si="29"/>
        <v>1879679016.2522125</v>
      </c>
      <c r="L76" s="145">
        <f>IF(Dimensions!$D$63="y",Dimensions!$D$64,LOOKUP(110-B77,'Tower Mass'!$A$8:$A$124,'Tower Mass'!$AK$8:$AK$124))</f>
        <v>0</v>
      </c>
      <c r="M76" s="145">
        <f>IF(Dimensions!$D$57="y",Dimensions!$D$61,LOOKUP(110-B77,'Tower Mass'!$A$8:$A$124,'Tower Mass'!$AO$8:$AO$124))</f>
        <v>1699010795.52</v>
      </c>
      <c r="N76" s="145">
        <f t="shared" si="30"/>
        <v>101943343369.86964</v>
      </c>
      <c r="O76" s="142">
        <f>IF(Dimensions!$D$66="y",((H76-C76)*(Dimensions!$D$67/100))+(H76*Dimensions!$D$68/100),0)</f>
        <v>1875851.4322034682</v>
      </c>
      <c r="P76" s="142">
        <f t="shared" si="24"/>
        <v>182426291.44991538</v>
      </c>
      <c r="Q76" s="143">
        <f t="shared" si="25"/>
        <v>33.26053585727107</v>
      </c>
      <c r="R76" s="144">
        <f t="shared" si="26"/>
        <v>12.36733628653919</v>
      </c>
      <c r="S76" s="138">
        <f t="shared" si="31"/>
      </c>
      <c r="U76" s="138">
        <f aca="true" t="shared" si="41" ref="U76:U121">0.5*C76*F76*F76-0.5*C76*I76*I76</f>
        <v>3725875042.29274</v>
      </c>
      <c r="V76" s="140">
        <f t="shared" si="27"/>
        <v>0.0029671250235565657</v>
      </c>
      <c r="W76" s="140">
        <f t="shared" si="39"/>
        <v>0.31922370364446045</v>
      </c>
      <c r="Y76" s="140">
        <f>(Q76*Q76-F76*F76)/(2*Dimensions!$D$6-20000000000/C76)</f>
        <v>0.6558962477816638</v>
      </c>
      <c r="Z76" s="140">
        <f t="shared" si="28"/>
        <v>0.01938189463817634</v>
      </c>
      <c r="AA76" s="140">
        <f t="shared" si="40"/>
        <v>1.0573477472324735</v>
      </c>
    </row>
    <row r="77" spans="1:27" ht="10.5">
      <c r="A77" s="138">
        <f t="shared" si="32"/>
        <v>73</v>
      </c>
      <c r="B77" s="138">
        <f t="shared" si="33"/>
        <v>24</v>
      </c>
      <c r="C77" s="142">
        <f t="shared" si="34"/>
        <v>182426291.44991538</v>
      </c>
      <c r="D77" s="143">
        <f t="shared" si="35"/>
        <v>33.26053585727107</v>
      </c>
      <c r="E77" s="144">
        <f>(F77-D77)/Dimensions!$D$6</f>
        <v>0.10947609474421226</v>
      </c>
      <c r="F77" s="143">
        <f>SQRT(2*Dimensions!$D$6*Dimensions!$D$20+(D77*D77))</f>
        <v>34.3341296017944</v>
      </c>
      <c r="G77" s="145">
        <f t="shared" si="36"/>
        <v>107525016550.00006</v>
      </c>
      <c r="H77" s="142">
        <f>IF(Dimensions!$D$52="y",C77+Dimensions!$D$53,C77+LOOKUP(110-B78,'Tower Mass'!$A$8:$A$124,'Tower Mass'!$AC$8:$AC$124))</f>
        <v>185721226.8113539</v>
      </c>
      <c r="I77" s="143">
        <f t="shared" si="37"/>
        <v>33.72499762656749</v>
      </c>
      <c r="J77" s="145">
        <f t="shared" si="38"/>
        <v>105617383344.29373</v>
      </c>
      <c r="K77" s="145">
        <f t="shared" si="29"/>
        <v>1907633205.7063293</v>
      </c>
      <c r="L77" s="145">
        <f>IF(Dimensions!$D$63="y",Dimensions!$D$64,LOOKUP(110-B78,'Tower Mass'!$A$8:$A$124,'Tower Mass'!$AK$8:$AK$124))</f>
        <v>0</v>
      </c>
      <c r="M77" s="145">
        <f>IF(Dimensions!$D$57="y",Dimensions!$D$61,LOOKUP(110-B78,'Tower Mass'!$A$8:$A$124,'Tower Mass'!$AO$8:$AO$124))</f>
        <v>1716895119.6833687</v>
      </c>
      <c r="N77" s="145">
        <f t="shared" si="30"/>
        <v>103900488224.61037</v>
      </c>
      <c r="O77" s="142">
        <f>IF(Dimensions!$D$66="y",((H77-C77)*(Dimensions!$D$67/100))+(H77*Dimensions!$D$68/100),0)</f>
        <v>1890161.621727924</v>
      </c>
      <c r="P77" s="142">
        <f t="shared" si="24"/>
        <v>183831065.18962598</v>
      </c>
      <c r="Q77" s="143">
        <f t="shared" si="25"/>
        <v>33.44976107819842</v>
      </c>
      <c r="R77" s="144">
        <f t="shared" si="26"/>
        <v>12.476812381283402</v>
      </c>
      <c r="S77" s="138">
        <f t="shared" si="31"/>
      </c>
      <c r="U77" s="138">
        <f t="shared" si="41"/>
        <v>3781422524.991852</v>
      </c>
      <c r="V77" s="140">
        <f t="shared" si="27"/>
        <v>0.0029505535606416918</v>
      </c>
      <c r="W77" s="140">
        <f t="shared" si="39"/>
        <v>0.3221742572051021</v>
      </c>
      <c r="Y77" s="140">
        <f>(Q77*Q77-F77*F77)/(2*Dimensions!$D$6-20000000000/C77)</f>
        <v>0.6659178622332</v>
      </c>
      <c r="Z77" s="140">
        <f t="shared" si="28"/>
        <v>0.019568804048832877</v>
      </c>
      <c r="AA77" s="140">
        <f t="shared" si="40"/>
        <v>1.0769165512813064</v>
      </c>
    </row>
    <row r="78" spans="1:27" ht="10.5">
      <c r="A78" s="138">
        <f t="shared" si="32"/>
        <v>74</v>
      </c>
      <c r="B78" s="138">
        <f t="shared" si="33"/>
        <v>23</v>
      </c>
      <c r="C78" s="142">
        <f t="shared" si="34"/>
        <v>183831065.18962598</v>
      </c>
      <c r="D78" s="143">
        <f t="shared" si="35"/>
        <v>33.44976107819842</v>
      </c>
      <c r="E78" s="144">
        <f>(F78-D78)/Dimensions!$D$6</f>
        <v>0.10887599651808054</v>
      </c>
      <c r="F78" s="143">
        <f>SQRT(2*Dimensions!$D$6*Dimensions!$D$20+(D78*D78))</f>
        <v>34.517469869452455</v>
      </c>
      <c r="G78" s="145">
        <f t="shared" si="36"/>
        <v>109513287635.761</v>
      </c>
      <c r="H78" s="142">
        <f>IF(Dimensions!$D$52="y",C78+Dimensions!$D$53,C78+LOOKUP(110-B79,'Tower Mass'!$A$8:$A$124,'Tower Mass'!$AC$8:$AC$124))</f>
        <v>187137935.5222612</v>
      </c>
      <c r="I78" s="143">
        <f t="shared" si="37"/>
        <v>33.90751979839728</v>
      </c>
      <c r="J78" s="145">
        <f t="shared" si="38"/>
        <v>107578104152.51176</v>
      </c>
      <c r="K78" s="145">
        <f t="shared" si="29"/>
        <v>1935183483.249237</v>
      </c>
      <c r="L78" s="145">
        <f>IF(Dimensions!$D$63="y",Dimensions!$D$64,LOOKUP(110-B79,'Tower Mass'!$A$8:$A$124,'Tower Mass'!$AK$8:$AK$124))</f>
        <v>0</v>
      </c>
      <c r="M78" s="145">
        <f>IF(Dimensions!$D$57="y",Dimensions!$D$61,LOOKUP(110-B79,'Tower Mass'!$A$8:$A$124,'Tower Mass'!$AO$8:$AO$124))</f>
        <v>1753817595.3754842</v>
      </c>
      <c r="N78" s="145">
        <f t="shared" si="30"/>
        <v>105824286557.13628</v>
      </c>
      <c r="O78" s="142">
        <f>IF(Dimensions!$D$66="y",((H78-C78)*(Dimensions!$D$67/100))+(H78*Dimensions!$D$68/100),0)</f>
        <v>1904448.058548964</v>
      </c>
      <c r="P78" s="142">
        <f t="shared" si="24"/>
        <v>185233487.46371225</v>
      </c>
      <c r="Q78" s="143">
        <f t="shared" si="25"/>
        <v>33.629991334234035</v>
      </c>
      <c r="R78" s="144">
        <f t="shared" si="26"/>
        <v>12.585688377801482</v>
      </c>
      <c r="S78" s="138">
        <f t="shared" si="31"/>
      </c>
      <c r="U78" s="138">
        <f t="shared" si="41"/>
        <v>3836170795.4704285</v>
      </c>
      <c r="V78" s="140">
        <f t="shared" si="27"/>
        <v>0.0029348121920817916</v>
      </c>
      <c r="W78" s="140">
        <f t="shared" si="39"/>
        <v>0.3251090693971839</v>
      </c>
      <c r="Y78" s="140">
        <f>(Q78*Q78-F78*F78)/(2*Dimensions!$D$6-20000000000/C78)</f>
        <v>0.6781553039072943</v>
      </c>
      <c r="Z78" s="140">
        <f t="shared" si="28"/>
        <v>0.019821860615521096</v>
      </c>
      <c r="AA78" s="140">
        <f t="shared" si="40"/>
        <v>1.0967384118968275</v>
      </c>
    </row>
    <row r="79" spans="1:27" ht="10.5">
      <c r="A79" s="138">
        <f t="shared" si="32"/>
        <v>75</v>
      </c>
      <c r="B79" s="138">
        <f t="shared" si="33"/>
        <v>22</v>
      </c>
      <c r="C79" s="142">
        <f t="shared" si="34"/>
        <v>185233487.46371225</v>
      </c>
      <c r="D79" s="143">
        <f t="shared" si="35"/>
        <v>33.629991334234035</v>
      </c>
      <c r="E79" s="144">
        <f>(F79-D79)/Dimensions!$D$6</f>
        <v>0.10831041674952117</v>
      </c>
      <c r="F79" s="143">
        <f>SQRT(2*Dimensions!$D$6*Dimensions!$D$20+(D79*D79))</f>
        <v>34.692153682650726</v>
      </c>
      <c r="G79" s="145">
        <f t="shared" si="36"/>
        <v>111468467656.80785</v>
      </c>
      <c r="H79" s="142">
        <f>IF(Dimensions!$D$52="y",C79+Dimensions!$D$53,C79+LOOKUP(110-B80,'Tower Mass'!$A$8:$A$124,'Tower Mass'!$AC$8:$AC$124))</f>
        <v>188552292.7675442</v>
      </c>
      <c r="I79" s="143">
        <f t="shared" si="37"/>
        <v>34.081519349048214</v>
      </c>
      <c r="J79" s="145">
        <f t="shared" si="38"/>
        <v>109506454168.4568</v>
      </c>
      <c r="K79" s="145">
        <f t="shared" si="29"/>
        <v>1962013488.3510437</v>
      </c>
      <c r="L79" s="145">
        <f>IF(Dimensions!$D$63="y",Dimensions!$D$64,LOOKUP(110-B80,'Tower Mass'!$A$8:$A$124,'Tower Mass'!$AK$8:$AK$124))</f>
        <v>0</v>
      </c>
      <c r="M79" s="145">
        <f>IF(Dimensions!$D$57="y",Dimensions!$D$61,LOOKUP(110-B80,'Tower Mass'!$A$8:$A$124,'Tower Mass'!$AO$8:$AO$124))</f>
        <v>1772880830.1078262</v>
      </c>
      <c r="N79" s="145">
        <f t="shared" si="30"/>
        <v>107733573338.34897</v>
      </c>
      <c r="O79" s="142">
        <f>IF(Dimensions!$D$66="y",((H79-C79)*(Dimensions!$D$67/100))+(H79*Dimensions!$D$68/100),0)</f>
        <v>1918710.9807137616</v>
      </c>
      <c r="P79" s="142">
        <f t="shared" si="24"/>
        <v>186633581.78683046</v>
      </c>
      <c r="Q79" s="143">
        <f t="shared" si="25"/>
        <v>33.80450815053796</v>
      </c>
      <c r="R79" s="144">
        <f t="shared" si="26"/>
        <v>12.693998794551003</v>
      </c>
      <c r="S79" s="138">
        <f t="shared" si="31"/>
      </c>
      <c r="U79" s="138">
        <f t="shared" si="41"/>
        <v>3889492574.1989136</v>
      </c>
      <c r="V79" s="140">
        <f t="shared" si="27"/>
        <v>0.0029198503204004903</v>
      </c>
      <c r="W79" s="140">
        <f t="shared" si="39"/>
        <v>0.3280289197175844</v>
      </c>
      <c r="Y79" s="140">
        <f>(Q79*Q79-F79*F79)/(2*Dimensions!$D$6-20000000000/C79)</f>
        <v>0.6881141040904081</v>
      </c>
      <c r="Z79" s="140">
        <f t="shared" si="28"/>
        <v>0.02001097436727699</v>
      </c>
      <c r="AA79" s="140">
        <f t="shared" si="40"/>
        <v>1.1167493862641045</v>
      </c>
    </row>
    <row r="80" spans="1:27" ht="10.5">
      <c r="A80" s="138">
        <f t="shared" si="32"/>
        <v>76</v>
      </c>
      <c r="B80" s="138">
        <f t="shared" si="33"/>
        <v>21</v>
      </c>
      <c r="C80" s="142">
        <f t="shared" si="34"/>
        <v>186633581.78683046</v>
      </c>
      <c r="D80" s="143">
        <f t="shared" si="35"/>
        <v>33.80450815053796</v>
      </c>
      <c r="E80" s="144">
        <f>(F80-D80)/Dimensions!$D$6</f>
        <v>0.10776825341353756</v>
      </c>
      <c r="F80" s="143">
        <f>SQRT(2*Dimensions!$D$6*Dimensions!$D$20+(D80*D80))</f>
        <v>34.86135369287583</v>
      </c>
      <c r="G80" s="145">
        <f t="shared" si="36"/>
        <v>113409200662.7962</v>
      </c>
      <c r="H80" s="142">
        <f>IF(Dimensions!$D$52="y",C80+Dimensions!$D$53,C80+LOOKUP(110-B81,'Tower Mass'!$A$8:$A$124,'Tower Mass'!$AC$8:$AC$124))</f>
        <v>189964322.06185913</v>
      </c>
      <c r="I80" s="143">
        <f t="shared" si="37"/>
        <v>34.25011199482123</v>
      </c>
      <c r="J80" s="145">
        <f t="shared" si="38"/>
        <v>111420739944.98108</v>
      </c>
      <c r="K80" s="145">
        <f t="shared" si="29"/>
        <v>1988460717.8151245</v>
      </c>
      <c r="L80" s="145">
        <f>IF(Dimensions!$D$63="y",Dimensions!$D$64,LOOKUP(110-B81,'Tower Mass'!$A$8:$A$124,'Tower Mass'!$AK$8:$AK$124))</f>
        <v>0</v>
      </c>
      <c r="M80" s="145">
        <f>IF(Dimensions!$D$57="y",Dimensions!$D$61,LOOKUP(110-B81,'Tower Mass'!$A$8:$A$124,'Tower Mass'!$AO$8:$AO$124))</f>
        <v>1812278181.8880002</v>
      </c>
      <c r="N80" s="145">
        <f t="shared" si="30"/>
        <v>109608461763.09308</v>
      </c>
      <c r="O80" s="142">
        <f>IF(Dimensions!$D$66="y",((H80-C80)*(Dimensions!$D$67/100))+(H80*Dimensions!$D$68/100),0)</f>
        <v>1932950.6233688782</v>
      </c>
      <c r="P80" s="142">
        <f t="shared" si="24"/>
        <v>188031371.43849024</v>
      </c>
      <c r="Q80" s="143">
        <f t="shared" si="25"/>
        <v>33.97042796851542</v>
      </c>
      <c r="R80" s="144">
        <f t="shared" si="26"/>
        <v>12.80176704796454</v>
      </c>
      <c r="S80" s="138">
        <f t="shared" si="31"/>
      </c>
      <c r="U80" s="138">
        <f t="shared" si="41"/>
        <v>3942056750.902832</v>
      </c>
      <c r="V80" s="140">
        <f t="shared" si="27"/>
        <v>0.0029056345073831336</v>
      </c>
      <c r="W80" s="140">
        <f t="shared" si="39"/>
        <v>0.33093455422496754</v>
      </c>
      <c r="Y80" s="140">
        <f>(Q80*Q80-F80*F80)/(2*Dimensions!$D$6-20000000000/C80)</f>
        <v>0.7004571126178718</v>
      </c>
      <c r="Z80" s="140">
        <f t="shared" si="28"/>
        <v>0.02027035906843933</v>
      </c>
      <c r="AA80" s="140">
        <f t="shared" si="40"/>
        <v>1.137019745332544</v>
      </c>
    </row>
    <row r="81" spans="1:27" ht="10.5">
      <c r="A81" s="138">
        <f t="shared" si="32"/>
        <v>77</v>
      </c>
      <c r="B81" s="138">
        <f t="shared" si="33"/>
        <v>20</v>
      </c>
      <c r="C81" s="142">
        <f t="shared" si="34"/>
        <v>188031371.43849024</v>
      </c>
      <c r="D81" s="143">
        <f t="shared" si="35"/>
        <v>33.97042796851542</v>
      </c>
      <c r="E81" s="144">
        <f>(F81-D81)/Dimensions!$D$6</f>
        <v>0.10725773217791679</v>
      </c>
      <c r="F81" s="143">
        <f>SQRT(2*Dimensions!$D$6*Dimensions!$D$20+(D81*D81))</f>
        <v>35.02226700777799</v>
      </c>
      <c r="G81" s="145">
        <f t="shared" si="36"/>
        <v>115315802981.25974</v>
      </c>
      <c r="H81" s="142">
        <f>IF(Dimensions!$D$52="y",C81+Dimensions!$D$53,C81+LOOKUP(110-B82,'Tower Mass'!$A$8:$A$124,'Tower Mass'!$AC$8:$AC$124))</f>
        <v>191374046.68471563</v>
      </c>
      <c r="I81" s="143">
        <f t="shared" si="37"/>
        <v>34.41054317676938</v>
      </c>
      <c r="J81" s="145">
        <f t="shared" si="38"/>
        <v>113301615128.71826</v>
      </c>
      <c r="K81" s="145">
        <f t="shared" si="29"/>
        <v>2014187852.5414734</v>
      </c>
      <c r="L81" s="145">
        <f>IF(Dimensions!$D$63="y",Dimensions!$D$64,LOOKUP(110-B82,'Tower Mass'!$A$8:$A$124,'Tower Mass'!$AK$8:$AK$124))</f>
        <v>0</v>
      </c>
      <c r="M81" s="145">
        <f>IF(Dimensions!$D$57="y",Dimensions!$D$61,LOOKUP(110-B82,'Tower Mass'!$A$8:$A$124,'Tower Mass'!$AO$8:$AO$124))</f>
        <v>1832640858.0889885</v>
      </c>
      <c r="N81" s="145">
        <f t="shared" si="30"/>
        <v>111468974270.62927</v>
      </c>
      <c r="O81" s="142">
        <f>IF(Dimensions!$D$66="y",((H81-C81)*(Dimensions!$D$67/100))+(H81*Dimensions!$D$68/100),0)</f>
        <v>1947167.21930941</v>
      </c>
      <c r="P81" s="142">
        <f t="shared" si="24"/>
        <v>189426879.4654062</v>
      </c>
      <c r="Q81" s="143">
        <f t="shared" si="25"/>
        <v>34.13111531248374</v>
      </c>
      <c r="R81" s="144">
        <f t="shared" si="26"/>
        <v>12.909024780142458</v>
      </c>
      <c r="S81" s="138">
        <f t="shared" si="31"/>
      </c>
      <c r="U81" s="138">
        <f t="shared" si="41"/>
        <v>3993194467.1221313</v>
      </c>
      <c r="V81" s="140">
        <f t="shared" si="27"/>
        <v>0.0028921217341729448</v>
      </c>
      <c r="W81" s="140">
        <f t="shared" si="39"/>
        <v>0.3338266759591405</v>
      </c>
      <c r="Y81" s="140">
        <f>(Q81*Q81-F81*F81)/(2*Dimensions!$D$6-20000000000/C81)</f>
        <v>0.7103721399110134</v>
      </c>
      <c r="Z81" s="140">
        <f t="shared" si="28"/>
        <v>0.02046214572110493</v>
      </c>
      <c r="AA81" s="140">
        <f t="shared" si="40"/>
        <v>1.1574818910536488</v>
      </c>
    </row>
    <row r="82" spans="1:27" ht="10.5">
      <c r="A82" s="138">
        <f t="shared" si="32"/>
        <v>78</v>
      </c>
      <c r="B82" s="138">
        <f t="shared" si="33"/>
        <v>19</v>
      </c>
      <c r="C82" s="142">
        <f t="shared" si="34"/>
        <v>189426879.4654062</v>
      </c>
      <c r="D82" s="143">
        <f t="shared" si="35"/>
        <v>34.13111531248374</v>
      </c>
      <c r="E82" s="144">
        <f>(F82-D82)/Dimensions!$D$6</f>
        <v>0.10676783196259376</v>
      </c>
      <c r="F82" s="143">
        <f>SQRT(2*Dimensions!$D$6*Dimensions!$D$20+(D82*D82))</f>
        <v>35.17815007179971</v>
      </c>
      <c r="G82" s="145">
        <f t="shared" si="36"/>
        <v>117208094061.65202</v>
      </c>
      <c r="H82" s="142">
        <f>IF(Dimensions!$D$52="y",C82+Dimensions!$D$53,C82+LOOKUP(110-B83,'Tower Mass'!$A$8:$A$124,'Tower Mass'!$AC$8:$AC$124))</f>
        <v>192781489.6828283</v>
      </c>
      <c r="I82" s="143">
        <f t="shared" si="37"/>
        <v>34.566011521283166</v>
      </c>
      <c r="J82" s="145">
        <f t="shared" si="38"/>
        <v>115168544151.79982</v>
      </c>
      <c r="K82" s="145">
        <f t="shared" si="29"/>
        <v>2039549909.8522034</v>
      </c>
      <c r="L82" s="145">
        <f>IF(Dimensions!$D$63="y",Dimensions!$D$64,LOOKUP(110-B83,'Tower Mass'!$A$8:$A$124,'Tower Mass'!$AK$8:$AK$124))</f>
        <v>0</v>
      </c>
      <c r="M82" s="145">
        <f>IF(Dimensions!$D$57="y",Dimensions!$D$61,LOOKUP(110-B83,'Tower Mass'!$A$8:$A$124,'Tower Mass'!$AO$8:$AO$124))</f>
        <v>1874770532.9875863</v>
      </c>
      <c r="N82" s="145">
        <f t="shared" si="30"/>
        <v>113293773618.81224</v>
      </c>
      <c r="O82" s="142">
        <f>IF(Dimensions!$D$66="y",((H82-C82)*(Dimensions!$D$67/100))+(H82*Dimensions!$D$68/100),0)</f>
        <v>1961360.9990025042</v>
      </c>
      <c r="P82" s="142">
        <f t="shared" si="24"/>
        <v>190820128.6838258</v>
      </c>
      <c r="Q82" s="143">
        <f t="shared" si="25"/>
        <v>34.28351583574944</v>
      </c>
      <c r="R82" s="144">
        <f t="shared" si="26"/>
        <v>13.015792612105052</v>
      </c>
      <c r="S82" s="138">
        <f t="shared" si="31"/>
      </c>
      <c r="U82" s="138">
        <f t="shared" si="41"/>
        <v>4043609405.257538</v>
      </c>
      <c r="V82" s="140">
        <f t="shared" si="27"/>
        <v>0.0028792859685541146</v>
      </c>
      <c r="W82" s="140">
        <f t="shared" si="39"/>
        <v>0.33670596192769464</v>
      </c>
      <c r="Y82" s="140">
        <f>(Q82*Q82-F82*F82)/(2*Dimensions!$D$6-20000000000/C82)</f>
        <v>0.7228566549132763</v>
      </c>
      <c r="Z82" s="140">
        <f t="shared" si="28"/>
        <v>0.020728807642157336</v>
      </c>
      <c r="AA82" s="140">
        <f t="shared" si="40"/>
        <v>1.178210698695806</v>
      </c>
    </row>
    <row r="83" spans="1:27" ht="10.5">
      <c r="A83" s="138">
        <f t="shared" si="32"/>
        <v>79</v>
      </c>
      <c r="B83" s="138">
        <f t="shared" si="33"/>
        <v>18</v>
      </c>
      <c r="C83" s="142">
        <f t="shared" si="34"/>
        <v>190820128.6838258</v>
      </c>
      <c r="D83" s="143">
        <f t="shared" si="35"/>
        <v>34.28351583574944</v>
      </c>
      <c r="E83" s="144">
        <f>(F83-D83)/Dimensions!$D$6</f>
        <v>0.10630725285067565</v>
      </c>
      <c r="F83" s="143">
        <f>SQRT(2*Dimensions!$D$6*Dimensions!$D$20+(D83*D83))</f>
        <v>35.32603385691752</v>
      </c>
      <c r="G83" s="145">
        <f t="shared" si="36"/>
        <v>119064954513.73016</v>
      </c>
      <c r="H83" s="142">
        <f>IF(Dimensions!$D$52="y",C83+Dimensions!$D$53,C83+LOOKUP(110-B84,'Tower Mass'!$A$8:$A$124,'Tower Mass'!$AC$8:$AC$124))</f>
        <v>194186673.8724446</v>
      </c>
      <c r="I83" s="143">
        <f t="shared" si="37"/>
        <v>34.71359899234947</v>
      </c>
      <c r="J83" s="145">
        <f t="shared" si="38"/>
        <v>117000767812.56335</v>
      </c>
      <c r="K83" s="145">
        <f t="shared" si="29"/>
        <v>2064186701.166809</v>
      </c>
      <c r="L83" s="145">
        <f>IF(Dimensions!$D$63="y",Dimensions!$D$64,LOOKUP(110-B84,'Tower Mass'!$A$8:$A$124,'Tower Mass'!$AK$8:$AK$124))</f>
        <v>0</v>
      </c>
      <c r="M83" s="145">
        <f>IF(Dimensions!$D$57="y",Dimensions!$D$61,LOOKUP(110-B84,'Tower Mass'!$A$8:$A$124,'Tower Mass'!$AO$8:$AO$124))</f>
        <v>1896570190.347907</v>
      </c>
      <c r="N83" s="145">
        <f t="shared" si="30"/>
        <v>115104197622.21545</v>
      </c>
      <c r="O83" s="142">
        <f>IF(Dimensions!$D$66="y",((H83-C83)*(Dimensions!$D$67/100))+(H83*Dimensions!$D$68/100),0)</f>
        <v>1975532.190610634</v>
      </c>
      <c r="P83" s="142">
        <f t="shared" si="24"/>
        <v>192211141.68183395</v>
      </c>
      <c r="Q83" s="143">
        <f t="shared" si="25"/>
        <v>34.43109758371099</v>
      </c>
      <c r="R83" s="144">
        <f t="shared" si="26"/>
        <v>13.122099864955727</v>
      </c>
      <c r="S83" s="138">
        <f t="shared" si="31"/>
      </c>
      <c r="U83" s="138">
        <f t="shared" si="41"/>
        <v>4092587332.8333435</v>
      </c>
      <c r="V83" s="140">
        <f t="shared" si="27"/>
        <v>0.002867090372978187</v>
      </c>
      <c r="W83" s="140">
        <f t="shared" si="39"/>
        <v>0.3395730523006728</v>
      </c>
      <c r="Y83" s="140">
        <f>(Q83*Q83-F83*F83)/(2*Dimensions!$D$6-20000000000/C83)</f>
        <v>0.7327471693395377</v>
      </c>
      <c r="Z83" s="140">
        <f t="shared" si="28"/>
        <v>0.020923786705635376</v>
      </c>
      <c r="AA83" s="140">
        <f t="shared" si="40"/>
        <v>1.1991344854014414</v>
      </c>
    </row>
    <row r="84" spans="1:27" ht="10.5">
      <c r="A84" s="138">
        <f t="shared" si="32"/>
        <v>80</v>
      </c>
      <c r="B84" s="138">
        <f t="shared" si="33"/>
        <v>17</v>
      </c>
      <c r="C84" s="142">
        <f t="shared" si="34"/>
        <v>192211141.68183395</v>
      </c>
      <c r="D84" s="143">
        <f t="shared" si="35"/>
        <v>34.43109758371099</v>
      </c>
      <c r="E84" s="144">
        <f>(F84-D84)/Dimensions!$D$6</f>
        <v>0.10586495315379305</v>
      </c>
      <c r="F84" s="143">
        <f>SQRT(2*Dimensions!$D$6*Dimensions!$D$20+(D84*D84))</f>
        <v>35.46927812655663</v>
      </c>
      <c r="G84" s="145">
        <f t="shared" si="36"/>
        <v>120907505793.81868</v>
      </c>
      <c r="H84" s="142">
        <f>IF(Dimensions!$D$52="y",C84+Dimensions!$D$53,C84+LOOKUP(110-B85,'Tower Mass'!$A$8:$A$124,'Tower Mass'!$AC$8:$AC$124))</f>
        <v>195589621.84164947</v>
      </c>
      <c r="I84" s="143">
        <f t="shared" si="37"/>
        <v>34.856606292002105</v>
      </c>
      <c r="J84" s="145">
        <f t="shared" si="38"/>
        <v>118819032971.73868</v>
      </c>
      <c r="K84" s="145">
        <f t="shared" si="29"/>
        <v>2088472822.0800018</v>
      </c>
      <c r="L84" s="145">
        <f>IF(Dimensions!$D$63="y",Dimensions!$D$64,LOOKUP(110-B85,'Tower Mass'!$A$8:$A$124,'Tower Mass'!$AK$8:$AK$124))</f>
        <v>0</v>
      </c>
      <c r="M84" s="145">
        <f>IF(Dimensions!$D$57="y",Dimensions!$D$61,LOOKUP(110-B85,'Tower Mass'!$A$8:$A$124,'Tower Mass'!$AO$8:$AO$124))</f>
        <v>1941726623.4514291</v>
      </c>
      <c r="N84" s="145">
        <f t="shared" si="30"/>
        <v>116877306348.28725</v>
      </c>
      <c r="O84" s="142">
        <f>IF(Dimensions!$D$66="y",((H84-C84)*(Dimensions!$D$67/100))+(H84*Dimensions!$D$68/100),0)</f>
        <v>1989681.02001465</v>
      </c>
      <c r="P84" s="142">
        <f t="shared" si="24"/>
        <v>193599940.82163483</v>
      </c>
      <c r="Q84" s="143">
        <f t="shared" si="25"/>
        <v>34.570621823556806</v>
      </c>
      <c r="R84" s="144">
        <f t="shared" si="26"/>
        <v>13.22796481810952</v>
      </c>
      <c r="S84" s="138">
        <f t="shared" si="31"/>
      </c>
      <c r="U84" s="138">
        <f t="shared" si="41"/>
        <v>4140870805.795532</v>
      </c>
      <c r="V84" s="140">
        <f t="shared" si="27"/>
        <v>0.0028555152155050455</v>
      </c>
      <c r="W84" s="140">
        <f t="shared" si="39"/>
        <v>0.34242856751617784</v>
      </c>
      <c r="Y84" s="140">
        <f>(Q84*Q84-F84*F84)/(2*Dimensions!$D$6-20000000000/C84)</f>
        <v>0.7454119740294846</v>
      </c>
      <c r="Z84" s="140">
        <f t="shared" si="28"/>
        <v>0.021198794162132804</v>
      </c>
      <c r="AA84" s="140">
        <f t="shared" si="40"/>
        <v>1.2203332795635742</v>
      </c>
    </row>
    <row r="85" spans="1:27" ht="10.5">
      <c r="A85" s="138">
        <f t="shared" si="32"/>
        <v>81</v>
      </c>
      <c r="B85" s="138">
        <f t="shared" si="33"/>
        <v>16</v>
      </c>
      <c r="C85" s="142">
        <f t="shared" si="34"/>
        <v>193599940.82163483</v>
      </c>
      <c r="D85" s="143">
        <f t="shared" si="35"/>
        <v>34.570621823556806</v>
      </c>
      <c r="E85" s="144">
        <f>(F85-D85)/Dimensions!$D$6</f>
        <v>0.10545012395669534</v>
      </c>
      <c r="F85" s="143">
        <f>SQRT(2*Dimensions!$D$6*Dimensions!$D$20+(D85*D85))</f>
        <v>35.60473428165673</v>
      </c>
      <c r="G85" s="145">
        <f t="shared" si="36"/>
        <v>122713042086.16153</v>
      </c>
      <c r="H85" s="142">
        <f>IF(Dimensions!$D$52="y",C85+Dimensions!$D$53,C85+LOOKUP(110-B86,'Tower Mass'!$A$8:$A$124,'Tower Mass'!$AC$8:$AC$124))</f>
        <v>196990355.95264706</v>
      </c>
      <c r="I85" s="143">
        <f t="shared" si="37"/>
        <v>34.991938648792264</v>
      </c>
      <c r="J85" s="145">
        <f t="shared" si="38"/>
        <v>120601019126.20773</v>
      </c>
      <c r="K85" s="145">
        <f t="shared" si="29"/>
        <v>2112022959.9537964</v>
      </c>
      <c r="L85" s="145">
        <f>IF(Dimensions!$D$63="y",Dimensions!$D$64,LOOKUP(110-B86,'Tower Mass'!$A$8:$A$124,'Tower Mass'!$AK$8:$AK$124))</f>
        <v>0</v>
      </c>
      <c r="M85" s="145">
        <f>IF(Dimensions!$D$57="y",Dimensions!$D$61,LOOKUP(110-B86,'Tower Mass'!$A$8:$A$124,'Tower Mass'!$AO$8:$AO$124))</f>
        <v>1989085809.3892684</v>
      </c>
      <c r="N85" s="145">
        <f t="shared" si="30"/>
        <v>118611933316.81847</v>
      </c>
      <c r="O85" s="142">
        <f>IF(Dimensions!$D$66="y",((H85-C85)*(Dimensions!$D$67/100))+(H85*Dimensions!$D$68/100),0)</f>
        <v>2003807.7108365928</v>
      </c>
      <c r="P85" s="142">
        <f t="shared" si="24"/>
        <v>194986548.24181047</v>
      </c>
      <c r="Q85" s="143">
        <f t="shared" si="25"/>
        <v>34.7021759723127</v>
      </c>
      <c r="R85" s="144">
        <f t="shared" si="26"/>
        <v>13.333414942066215</v>
      </c>
      <c r="S85" s="138">
        <f t="shared" si="31"/>
      </c>
      <c r="U85" s="138">
        <f t="shared" si="41"/>
        <v>4187695741.41362</v>
      </c>
      <c r="V85" s="140">
        <f t="shared" si="27"/>
        <v>0.002844670591803005</v>
      </c>
      <c r="W85" s="140">
        <f t="shared" si="39"/>
        <v>0.34527323810798083</v>
      </c>
      <c r="Y85" s="140">
        <f>(Q85*Q85-F85*F85)/(2*Dimensions!$D$6-20000000000/C85)</f>
        <v>0.758205017064051</v>
      </c>
      <c r="Z85" s="140">
        <f t="shared" si="28"/>
        <v>0.021479907921752223</v>
      </c>
      <c r="AA85" s="140">
        <f t="shared" si="40"/>
        <v>1.2418131874853264</v>
      </c>
    </row>
    <row r="86" spans="1:27" ht="10.5">
      <c r="A86" s="138">
        <f t="shared" si="32"/>
        <v>82</v>
      </c>
      <c r="B86" s="138">
        <f t="shared" si="33"/>
        <v>15</v>
      </c>
      <c r="C86" s="142">
        <f t="shared" si="34"/>
        <v>194986548.24181047</v>
      </c>
      <c r="D86" s="143">
        <f t="shared" si="35"/>
        <v>34.7021759723127</v>
      </c>
      <c r="E86" s="144">
        <f>(F86-D86)/Dimensions!$D$6</f>
        <v>0.10506191519570286</v>
      </c>
      <c r="F86" s="143">
        <f>SQRT(2*Dimensions!$D$6*Dimensions!$D$20+(D86*D86))</f>
        <v>35.73248140296664</v>
      </c>
      <c r="G86" s="145">
        <f t="shared" si="36"/>
        <v>124480409482.0871</v>
      </c>
      <c r="H86" s="142">
        <f>IF(Dimensions!$D$52="y",C86+Dimensions!$D$53,C86+LOOKUP(110-B87,'Tower Mass'!$A$8:$A$124,'Tower Mass'!$AC$8:$AC$124))</f>
        <v>198388898.3440194</v>
      </c>
      <c r="I86" s="143">
        <f t="shared" si="37"/>
        <v>35.11967285990621</v>
      </c>
      <c r="J86" s="145">
        <f t="shared" si="38"/>
        <v>122345582697.62677</v>
      </c>
      <c r="K86" s="145">
        <f t="shared" si="29"/>
        <v>2134826784.4603271</v>
      </c>
      <c r="L86" s="145">
        <f>IF(Dimensions!$D$63="y",Dimensions!$D$64,LOOKUP(110-B87,'Tower Mass'!$A$8:$A$124,'Tower Mass'!$AK$8:$AK$124))</f>
        <v>0</v>
      </c>
      <c r="M86" s="145">
        <f>IF(Dimensions!$D$57="y",Dimensions!$D$61,LOOKUP(110-B87,'Tower Mass'!$A$8:$A$124,'Tower Mass'!$AO$8:$AO$124))</f>
        <v>2013642424.3199997</v>
      </c>
      <c r="N86" s="145">
        <f t="shared" si="30"/>
        <v>120331940273.30676</v>
      </c>
      <c r="O86" s="142">
        <f>IF(Dimensions!$D$66="y",((H86-C86)*(Dimensions!$D$67/100))+(H86*Dimensions!$D$68/100),0)</f>
        <v>2017912.4844622836</v>
      </c>
      <c r="P86" s="142">
        <f t="shared" si="24"/>
        <v>196370985.85955712</v>
      </c>
      <c r="Q86" s="143">
        <f t="shared" si="25"/>
        <v>34.82946268783052</v>
      </c>
      <c r="R86" s="144">
        <f t="shared" si="26"/>
        <v>13.438476857261918</v>
      </c>
      <c r="S86" s="138">
        <f t="shared" si="31"/>
      </c>
      <c r="U86" s="138">
        <f t="shared" si="41"/>
        <v>4233041499.450348</v>
      </c>
      <c r="V86" s="140">
        <f t="shared" si="27"/>
        <v>0.0028343890262241857</v>
      </c>
      <c r="W86" s="140">
        <f t="shared" si="39"/>
        <v>0.348107627134205</v>
      </c>
      <c r="Y86" s="140">
        <f>(Q86*Q86-F86*F86)/(2*Dimensions!$D$6-20000000000/C86)</f>
        <v>0.7680856528520227</v>
      </c>
      <c r="Z86" s="140">
        <f t="shared" si="28"/>
        <v>0.021681363420575802</v>
      </c>
      <c r="AA86" s="140">
        <f t="shared" si="40"/>
        <v>1.2634945509059021</v>
      </c>
    </row>
    <row r="87" spans="1:27" ht="10.5">
      <c r="A87" s="138">
        <f t="shared" si="32"/>
        <v>83</v>
      </c>
      <c r="B87" s="138">
        <f t="shared" si="33"/>
        <v>14</v>
      </c>
      <c r="C87" s="142">
        <f t="shared" si="34"/>
        <v>196370985.85955712</v>
      </c>
      <c r="D87" s="143">
        <f t="shared" si="35"/>
        <v>34.82946268783052</v>
      </c>
      <c r="E87" s="144">
        <f>(F87-D87)/Dimensions!$D$6</f>
        <v>0.10468897167707257</v>
      </c>
      <c r="F87" s="143">
        <f>SQRT(2*Dimensions!$D$6*Dimensions!$D$20+(D87*D87))</f>
        <v>35.856110791927485</v>
      </c>
      <c r="G87" s="145">
        <f t="shared" si="36"/>
        <v>126233227716.4945</v>
      </c>
      <c r="H87" s="142">
        <f>IF(Dimensions!$D$52="y",C87+Dimensions!$D$53,C87+LOOKUP(110-B88,'Tower Mass'!$A$8:$A$124,'Tower Mass'!$AC$8:$AC$124))</f>
        <v>199785270.9329628</v>
      </c>
      <c r="I87" s="143">
        <f t="shared" si="37"/>
        <v>35.24333797191145</v>
      </c>
      <c r="J87" s="145">
        <f t="shared" si="38"/>
        <v>124075930418.51266</v>
      </c>
      <c r="K87" s="145">
        <f t="shared" si="29"/>
        <v>2157297297.981842</v>
      </c>
      <c r="L87" s="145">
        <f>IF(Dimensions!$D$63="y",Dimensions!$D$64,LOOKUP(110-B88,'Tower Mass'!$A$8:$A$124,'Tower Mass'!$AK$8:$AK$124))</f>
        <v>0</v>
      </c>
      <c r="M87" s="145">
        <f>IF(Dimensions!$D$57="y",Dimensions!$D$61,LOOKUP(110-B88,'Tower Mass'!$A$8:$A$124,'Tower Mass'!$AO$8:$AO$124))</f>
        <v>2064620713.5432916</v>
      </c>
      <c r="N87" s="145">
        <f t="shared" si="30"/>
        <v>122011309704.96938</v>
      </c>
      <c r="O87" s="142">
        <f>IF(Dimensions!$D$66="y",((H87-C87)*(Dimensions!$D$67/100))+(H87*Dimensions!$D$68/100),0)</f>
        <v>2031995.560063685</v>
      </c>
      <c r="P87" s="142">
        <f t="shared" si="24"/>
        <v>197753275.37289912</v>
      </c>
      <c r="Q87" s="143">
        <f t="shared" si="25"/>
        <v>34.948883726640034</v>
      </c>
      <c r="R87" s="144">
        <f t="shared" si="26"/>
        <v>13.54316582893899</v>
      </c>
      <c r="S87" s="138">
        <f t="shared" si="31"/>
      </c>
      <c r="U87" s="138">
        <f t="shared" si="41"/>
        <v>4277726873.288208</v>
      </c>
      <c r="V87" s="140">
        <f t="shared" si="27"/>
        <v>0.00282465949414844</v>
      </c>
      <c r="W87" s="140">
        <f t="shared" si="39"/>
        <v>0.35093228662835346</v>
      </c>
      <c r="Y87" s="140">
        <f>(Q87*Q87-F87*F87)/(2*Dimensions!$D$6-20000000000/C87)</f>
        <v>0.7811322498852203</v>
      </c>
      <c r="Z87" s="140">
        <f t="shared" si="28"/>
        <v>0.021972948130154924</v>
      </c>
      <c r="AA87" s="140">
        <f t="shared" si="40"/>
        <v>1.285467499036057</v>
      </c>
    </row>
    <row r="88" spans="1:27" ht="10.5">
      <c r="A88" s="138">
        <f t="shared" si="32"/>
        <v>84</v>
      </c>
      <c r="B88" s="138">
        <f t="shared" si="33"/>
        <v>13</v>
      </c>
      <c r="C88" s="142">
        <f t="shared" si="34"/>
        <v>197753275.37289912</v>
      </c>
      <c r="D88" s="143">
        <f t="shared" si="35"/>
        <v>34.948883726640034</v>
      </c>
      <c r="E88" s="144">
        <f>(F88-D88)/Dimensions!$D$6</f>
        <v>0.10434143941471431</v>
      </c>
      <c r="F88" s="143">
        <f>SQRT(2*Dimensions!$D$6*Dimensions!$D$20+(D88*D88))</f>
        <v>35.97212370347634</v>
      </c>
      <c r="G88" s="145">
        <f t="shared" si="36"/>
        <v>127945744635.53664</v>
      </c>
      <c r="H88" s="142">
        <f>IF(Dimensions!$D$52="y",C88+Dimensions!$D$53,C88+LOOKUP(110-B89,'Tower Mass'!$A$8:$A$124,'Tower Mass'!$AC$8:$AC$124))</f>
        <v>201179495.3654877</v>
      </c>
      <c r="I88" s="143">
        <f t="shared" si="37"/>
        <v>35.359494622243126</v>
      </c>
      <c r="J88" s="145">
        <f t="shared" si="38"/>
        <v>125766743900.6928</v>
      </c>
      <c r="K88" s="145">
        <f t="shared" si="29"/>
        <v>2179000734.8438416</v>
      </c>
      <c r="L88" s="145">
        <f>IF(Dimensions!$D$63="y",Dimensions!$D$64,LOOKUP(110-B89,'Tower Mass'!$A$8:$A$124,'Tower Mass'!$AK$8:$AK$124))</f>
        <v>0</v>
      </c>
      <c r="M88" s="145">
        <f>IF(Dimensions!$D$57="y",Dimensions!$D$61,LOOKUP(110-B89,'Tower Mass'!$A$8:$A$124,'Tower Mass'!$AO$8:$AO$124))</f>
        <v>2091090209.870769</v>
      </c>
      <c r="N88" s="145">
        <f t="shared" si="30"/>
        <v>123675653690.82202</v>
      </c>
      <c r="O88" s="142">
        <f>IF(Dimensions!$D$66="y",((H88-C88)*(Dimensions!$D$67/100))+(H88*Dimensions!$D$68/100),0)</f>
        <v>2046057.1535807627</v>
      </c>
      <c r="P88" s="142">
        <f t="shared" si="24"/>
        <v>199133438.21190694</v>
      </c>
      <c r="Q88" s="143">
        <f t="shared" si="25"/>
        <v>35.06430601595105</v>
      </c>
      <c r="R88" s="144">
        <f t="shared" si="26"/>
        <v>13.647507268353705</v>
      </c>
      <c r="S88" s="138">
        <f t="shared" si="31"/>
      </c>
      <c r="U88" s="138">
        <f t="shared" si="41"/>
        <v>4320891644.61319</v>
      </c>
      <c r="V88" s="140">
        <f t="shared" si="27"/>
        <v>0.0028154568126514813</v>
      </c>
      <c r="W88" s="140">
        <f t="shared" si="39"/>
        <v>0.35374774344100496</v>
      </c>
      <c r="Y88" s="140">
        <f>(Q88*Q88-F88*F88)/(2*Dimensions!$D$6-20000000000/C88)</f>
        <v>0.791043824438518</v>
      </c>
      <c r="Z88" s="140">
        <f t="shared" si="28"/>
        <v>0.02217933205514553</v>
      </c>
      <c r="AA88" s="140">
        <f t="shared" si="40"/>
        <v>1.3076468310912026</v>
      </c>
    </row>
    <row r="89" spans="1:27" ht="10.5">
      <c r="A89" s="138">
        <f t="shared" si="32"/>
        <v>85</v>
      </c>
      <c r="B89" s="138">
        <f t="shared" si="33"/>
        <v>12</v>
      </c>
      <c r="C89" s="142">
        <f t="shared" si="34"/>
        <v>199133438.21190694</v>
      </c>
      <c r="D89" s="143">
        <f t="shared" si="35"/>
        <v>35.06430601595105</v>
      </c>
      <c r="E89" s="144">
        <f>(F89-D89)/Dimensions!$D$6</f>
        <v>0.10400769896156258</v>
      </c>
      <c r="F89" s="143">
        <f>SQRT(2*Dimensions!$D$6*Dimensions!$D$20+(D89*D89))</f>
        <v>36.084273116972454</v>
      </c>
      <c r="G89" s="145">
        <f t="shared" si="36"/>
        <v>129643312519.13342</v>
      </c>
      <c r="H89" s="142">
        <f>IF(Dimensions!$D$52="y",C89+Dimensions!$D$53,C89+LOOKUP(110-B90,'Tower Mass'!$A$8:$A$124,'Tower Mass'!$AC$8:$AC$124))</f>
        <v>202571593.17569223</v>
      </c>
      <c r="I89" s="143">
        <f t="shared" si="37"/>
        <v>35.4718312598158</v>
      </c>
      <c r="J89" s="145">
        <f t="shared" si="38"/>
        <v>127442935894.3979</v>
      </c>
      <c r="K89" s="145">
        <f t="shared" si="29"/>
        <v>2200376624.7355194</v>
      </c>
      <c r="L89" s="145">
        <f>IF(Dimensions!$D$63="y",Dimensions!$D$64,LOOKUP(110-B90,'Tower Mass'!$A$8:$A$124,'Tower Mass'!$AK$8:$AK$124))</f>
        <v>0</v>
      </c>
      <c r="M89" s="145">
        <f>IF(Dimensions!$D$57="y",Dimensions!$D$61,LOOKUP(110-B90,'Tower Mass'!$A$8:$A$124,'Tower Mass'!$AO$8:$AO$124))</f>
        <v>2146118899.6042104</v>
      </c>
      <c r="N89" s="145">
        <f t="shared" si="30"/>
        <v>125296816994.79369</v>
      </c>
      <c r="O89" s="142">
        <f>IF(Dimensions!$D$66="y",((H89-C89)*(Dimensions!$D$67/100))+(H89*Dimensions!$D$68/100),0)</f>
        <v>2060097.4813947752</v>
      </c>
      <c r="P89" s="142">
        <f t="shared" si="24"/>
        <v>200511495.69429746</v>
      </c>
      <c r="Q89" s="143">
        <f t="shared" si="25"/>
        <v>35.17189315471853</v>
      </c>
      <c r="R89" s="144">
        <f t="shared" si="26"/>
        <v>13.751514967315266</v>
      </c>
      <c r="S89" s="138">
        <f t="shared" si="31"/>
      </c>
      <c r="U89" s="138">
        <f t="shared" si="41"/>
        <v>4363407263.807724</v>
      </c>
      <c r="V89" s="140">
        <f t="shared" si="27"/>
        <v>0.0028067746338951865</v>
      </c>
      <c r="W89" s="140">
        <f t="shared" si="39"/>
        <v>0.35655451807490013</v>
      </c>
      <c r="Y89" s="140">
        <f>(Q89*Q89-F89*F89)/(2*Dimensions!$D$6-20000000000/C89)</f>
        <v>0.8043949143928214</v>
      </c>
      <c r="Z89" s="140">
        <f t="shared" si="28"/>
        <v>0.02248291522850859</v>
      </c>
      <c r="AA89" s="140">
        <f t="shared" si="40"/>
        <v>1.3301297463197113</v>
      </c>
    </row>
    <row r="90" spans="1:27" ht="10.5">
      <c r="A90" s="138">
        <f t="shared" si="32"/>
        <v>86</v>
      </c>
      <c r="B90" s="138">
        <f t="shared" si="33"/>
        <v>11</v>
      </c>
      <c r="C90" s="142">
        <f t="shared" si="34"/>
        <v>200511495.69429746</v>
      </c>
      <c r="D90" s="143">
        <f t="shared" si="35"/>
        <v>35.17189315471853</v>
      </c>
      <c r="E90" s="144">
        <f>(F90-D90)/Dimensions!$D$6</f>
        <v>0.1036985034842119</v>
      </c>
      <c r="F90" s="143">
        <f>SQRT(2*Dimensions!$D$6*Dimensions!$D$20+(D90*D90))</f>
        <v>36.18882808391198</v>
      </c>
      <c r="G90" s="145">
        <f t="shared" si="36"/>
        <v>131298063188.62302</v>
      </c>
      <c r="H90" s="142">
        <f>IF(Dimensions!$D$52="y",C90+Dimensions!$D$53,C90+LOOKUP(110-B91,'Tower Mass'!$A$8:$A$124,'Tower Mass'!$AC$8:$AC$124))</f>
        <v>203961585.62927946</v>
      </c>
      <c r="I90" s="143">
        <f t="shared" si="37"/>
        <v>35.57667991323618</v>
      </c>
      <c r="J90" s="145">
        <f t="shared" si="38"/>
        <v>129077105134.72232</v>
      </c>
      <c r="K90" s="145">
        <f t="shared" si="29"/>
        <v>2220958053.900696</v>
      </c>
      <c r="L90" s="145">
        <f>IF(Dimensions!$D$63="y",Dimensions!$D$64,LOOKUP(110-B91,'Tower Mass'!$A$8:$A$124,'Tower Mass'!$AK$8:$AK$124))</f>
        <v>0</v>
      </c>
      <c r="M90" s="145">
        <f>IF(Dimensions!$D$57="y",Dimensions!$D$61,LOOKUP(110-B91,'Tower Mass'!$A$8:$A$124,'Tower Mass'!$AO$8:$AO$124))</f>
        <v>2174733818.2656</v>
      </c>
      <c r="N90" s="145">
        <f t="shared" si="30"/>
        <v>126902371316.45673</v>
      </c>
      <c r="O90" s="142">
        <f>IF(Dimensions!$D$66="y",((H90-C90)*(Dimensions!$D$67/100))+(H90*Dimensions!$D$68/100),0)</f>
        <v>2074116.7556426148</v>
      </c>
      <c r="P90" s="142">
        <f t="shared" si="24"/>
        <v>201887468.87363684</v>
      </c>
      <c r="Q90" s="143">
        <f t="shared" si="25"/>
        <v>35.2757029448632</v>
      </c>
      <c r="R90" s="144">
        <f t="shared" si="26"/>
        <v>13.855213470799479</v>
      </c>
      <c r="S90" s="138">
        <f t="shared" si="31"/>
      </c>
      <c r="U90" s="138">
        <f t="shared" si="41"/>
        <v>4404347734.305267</v>
      </c>
      <c r="V90" s="140">
        <f t="shared" si="27"/>
        <v>0.002798591092964285</v>
      </c>
      <c r="W90" s="140">
        <f t="shared" si="39"/>
        <v>0.3593531091678644</v>
      </c>
      <c r="Y90" s="140">
        <f>(Q90*Q90-F90*F90)/(2*Dimensions!$D$6-20000000000/C90)</f>
        <v>0.8143610775790872</v>
      </c>
      <c r="Z90" s="140">
        <f t="shared" si="28"/>
        <v>0.022695055056572544</v>
      </c>
      <c r="AA90" s="140">
        <f t="shared" si="40"/>
        <v>1.3528248013762838</v>
      </c>
    </row>
    <row r="91" spans="1:27" ht="10.5">
      <c r="A91" s="138">
        <f t="shared" si="32"/>
        <v>87</v>
      </c>
      <c r="B91" s="138">
        <f t="shared" si="33"/>
        <v>10</v>
      </c>
      <c r="C91" s="142">
        <f t="shared" si="34"/>
        <v>201887468.87363684</v>
      </c>
      <c r="D91" s="143">
        <f t="shared" si="35"/>
        <v>35.2757029448632</v>
      </c>
      <c r="E91" s="144">
        <f>(F91-D91)/Dimensions!$D$6</f>
        <v>0.10340187717250449</v>
      </c>
      <c r="F91" s="143">
        <f>SQRT(2*Dimensions!$D$6*Dimensions!$D$20+(D91*D91))</f>
        <v>36.28972896363694</v>
      </c>
      <c r="G91" s="145">
        <f t="shared" si="36"/>
        <v>132937288633.74265</v>
      </c>
      <c r="H91" s="142">
        <f>IF(Dimensions!$D$52="y",C91+Dimensions!$D$53,C91+LOOKUP(110-B92,'Tower Mass'!$A$8:$A$124,'Tower Mass'!$AC$8:$AC$124))</f>
        <v>205349493.77981555</v>
      </c>
      <c r="I91" s="143">
        <f t="shared" si="37"/>
        <v>35.67791374462647</v>
      </c>
      <c r="J91" s="145">
        <f t="shared" si="38"/>
        <v>130696074420.16699</v>
      </c>
      <c r="K91" s="145">
        <f t="shared" si="29"/>
        <v>2241214213.575653</v>
      </c>
      <c r="L91" s="145">
        <f>IF(Dimensions!$D$63="y",Dimensions!$D$64,LOOKUP(110-B92,'Tower Mass'!$A$8:$A$124,'Tower Mass'!$AK$8:$AK$124))</f>
        <v>0</v>
      </c>
      <c r="M91" s="145">
        <f>IF(Dimensions!$D$57="y",Dimensions!$D$61,LOOKUP(110-B92,'Tower Mass'!$A$8:$A$124,'Tower Mass'!$AO$8:$AO$124))</f>
        <v>2234315566.7112327</v>
      </c>
      <c r="N91" s="145">
        <f t="shared" si="30"/>
        <v>128461758853.45576</v>
      </c>
      <c r="O91" s="142">
        <f>IF(Dimensions!$D$66="y",((H91-C91)*(Dimensions!$D$67/100))+(H91*Dimensions!$D$68/100),0)</f>
        <v>2088115.1868599425</v>
      </c>
      <c r="P91" s="142">
        <f t="shared" si="24"/>
        <v>203261378.59295562</v>
      </c>
      <c r="Q91" s="143">
        <f t="shared" si="25"/>
        <v>35.37163309605289</v>
      </c>
      <c r="R91" s="144">
        <f t="shared" si="26"/>
        <v>13.958615347971984</v>
      </c>
      <c r="S91" s="138">
        <f t="shared" si="31"/>
      </c>
      <c r="U91" s="138">
        <f t="shared" si="41"/>
        <v>4444643384.273132</v>
      </c>
      <c r="V91" s="140">
        <f t="shared" si="27"/>
        <v>0.002790904250932482</v>
      </c>
      <c r="W91" s="140">
        <f t="shared" si="39"/>
        <v>0.3621440134187969</v>
      </c>
      <c r="Y91" s="140">
        <f>(Q91*Q91-F91*F91)/(2*Dimensions!$D$6-20000000000/C91)</f>
        <v>0.8280745027348171</v>
      </c>
      <c r="Z91" s="140">
        <f t="shared" si="28"/>
        <v>0.023012411455286878</v>
      </c>
      <c r="AA91" s="140">
        <f t="shared" si="40"/>
        <v>1.3758372128315708</v>
      </c>
    </row>
    <row r="92" spans="1:27" ht="10.5">
      <c r="A92" s="138">
        <f t="shared" si="32"/>
        <v>88</v>
      </c>
      <c r="B92" s="138">
        <f t="shared" si="33"/>
        <v>9</v>
      </c>
      <c r="C92" s="142">
        <f t="shared" si="34"/>
        <v>203261378.59295562</v>
      </c>
      <c r="D92" s="143">
        <f t="shared" si="35"/>
        <v>35.37163309605289</v>
      </c>
      <c r="E92" s="144">
        <f>(F92-D92)/Dimensions!$D$6</f>
        <v>0.10312924992335197</v>
      </c>
      <c r="F92" s="143">
        <f>SQRT(2*Dimensions!$D$6*Dimensions!$D$20+(D92*D92))</f>
        <v>36.38298555481373</v>
      </c>
      <c r="G92" s="145">
        <f t="shared" si="36"/>
        <v>134530742494.58835</v>
      </c>
      <c r="H92" s="142">
        <f>IF(Dimensions!$D$52="y",C92+Dimensions!$D$53,C92+LOOKUP(110-B93,'Tower Mass'!$A$8:$A$124,'Tower Mass'!$AC$8:$AC$124))</f>
        <v>209119239.4395054</v>
      </c>
      <c r="I92" s="143">
        <f t="shared" si="37"/>
        <v>35.36382315190253</v>
      </c>
      <c r="J92" s="145">
        <f t="shared" si="38"/>
        <v>130762259158.34187</v>
      </c>
      <c r="K92" s="145">
        <f t="shared" si="29"/>
        <v>3768483336.246475</v>
      </c>
      <c r="L92" s="145">
        <f>IF(Dimensions!$D$63="y",Dimensions!$D$64,LOOKUP(110-B93,'Tower Mass'!$A$8:$A$124,'Tower Mass'!$AK$8:$AK$124))</f>
        <v>0</v>
      </c>
      <c r="M92" s="145">
        <f>IF(Dimensions!$D$57="y",Dimensions!$D$61,LOOKUP(110-B93,'Tower Mass'!$A$8:$A$124,'Tower Mass'!$AO$8:$AO$124))</f>
        <v>2265347727.36</v>
      </c>
      <c r="N92" s="145">
        <f t="shared" si="30"/>
        <v>128496911430.98187</v>
      </c>
      <c r="O92" s="142">
        <f>IF(Dimensions!$D$66="y",((H92-C92)*(Dimensions!$D$67/100))+(H92*Dimensions!$D$68/100),0)</f>
        <v>2149771.0028605517</v>
      </c>
      <c r="P92" s="142">
        <f t="shared" si="24"/>
        <v>206969468.43664485</v>
      </c>
      <c r="Q92" s="143">
        <f t="shared" si="25"/>
        <v>35.056160371289124</v>
      </c>
      <c r="R92" s="144">
        <f t="shared" si="26"/>
        <v>14.061744597895336</v>
      </c>
      <c r="S92" s="138">
        <f t="shared" si="31"/>
      </c>
      <c r="U92" s="138">
        <f t="shared" si="41"/>
        <v>7431403688.209763</v>
      </c>
      <c r="V92" s="140">
        <f t="shared" si="27"/>
        <v>0.0027995855410544996</v>
      </c>
      <c r="W92" s="140">
        <f t="shared" si="39"/>
        <v>0.36494359895985135</v>
      </c>
      <c r="Y92" s="140">
        <f>(Q92*Q92-F92*F92)/(2*Dimensions!$D$6-20000000000/C92)</f>
        <v>1.2031561363659682</v>
      </c>
      <c r="Z92" s="140">
        <f t="shared" si="28"/>
        <v>0.033538945022187176</v>
      </c>
      <c r="AA92" s="140">
        <f t="shared" si="40"/>
        <v>1.409376157853758</v>
      </c>
    </row>
    <row r="93" spans="1:27" ht="10.5">
      <c r="A93" s="138">
        <f t="shared" si="32"/>
        <v>89</v>
      </c>
      <c r="B93" s="138">
        <f t="shared" si="33"/>
        <v>8</v>
      </c>
      <c r="C93" s="142">
        <f t="shared" si="34"/>
        <v>206969468.43664485</v>
      </c>
      <c r="D93" s="143">
        <f t="shared" si="35"/>
        <v>35.056160371289124</v>
      </c>
      <c r="E93" s="144">
        <f>(F93-D93)/Dimensions!$D$6</f>
        <v>0.10403118283062113</v>
      </c>
      <c r="F93" s="143">
        <f>SQRT(2*Dimensions!$D$6*Dimensions!$D$20+(D93*D93))</f>
        <v>36.076357770395035</v>
      </c>
      <c r="G93" s="145">
        <f t="shared" si="36"/>
        <v>134685753093.01843</v>
      </c>
      <c r="H93" s="142">
        <f>IF(Dimensions!$D$52="y",C93+Dimensions!$D$53,C93+LOOKUP(110-B94,'Tower Mass'!$A$8:$A$124,'Tower Mass'!$AC$8:$AC$124))</f>
        <v>212839264.25439134</v>
      </c>
      <c r="I93" s="143">
        <f t="shared" si="37"/>
        <v>35.08142455305837</v>
      </c>
      <c r="J93" s="145">
        <f t="shared" si="38"/>
        <v>130971316882.27065</v>
      </c>
      <c r="K93" s="145">
        <f t="shared" si="29"/>
        <v>3714436210.7477875</v>
      </c>
      <c r="L93" s="145">
        <f>IF(Dimensions!$D$63="y",Dimensions!$D$64,LOOKUP(110-B94,'Tower Mass'!$A$8:$A$124,'Tower Mass'!$AK$8:$AK$124))</f>
        <v>0</v>
      </c>
      <c r="M93" s="145">
        <f>IF(Dimensions!$D$57="y",Dimensions!$D$61,LOOKUP(110-B94,'Tower Mass'!$A$8:$A$124,'Tower Mass'!$AO$8:$AO$124))</f>
        <v>2330071948.1417146</v>
      </c>
      <c r="N93" s="145">
        <f t="shared" si="30"/>
        <v>128641244934.12894</v>
      </c>
      <c r="O93" s="142">
        <f>IF(Dimensions!$D$66="y",((H93-C93)*(Dimensions!$D$67/100))+(H93*Dimensions!$D$68/100),0)</f>
        <v>2187090.6007213783</v>
      </c>
      <c r="P93" s="142">
        <f t="shared" si="24"/>
        <v>210652173.65366995</v>
      </c>
      <c r="Q93" s="143">
        <f t="shared" si="25"/>
        <v>34.767962496413965</v>
      </c>
      <c r="R93" s="144">
        <f t="shared" si="26"/>
        <v>14.165775780725957</v>
      </c>
      <c r="S93" s="138">
        <f t="shared" si="31"/>
      </c>
      <c r="U93" s="138">
        <f t="shared" si="41"/>
        <v>7326433699.902069</v>
      </c>
      <c r="V93" s="140">
        <f t="shared" si="27"/>
        <v>0.002823091523029281</v>
      </c>
      <c r="W93" s="140">
        <f t="shared" si="39"/>
        <v>0.36776669048288063</v>
      </c>
      <c r="Y93" s="140">
        <f>(Q93*Q93-F93*F93)/(2*Dimensions!$D$6-20000000000/C93)</f>
        <v>1.203495245431184</v>
      </c>
      <c r="Z93" s="140">
        <f t="shared" si="28"/>
        <v>0.03382610323521888</v>
      </c>
      <c r="AA93" s="140">
        <f t="shared" si="40"/>
        <v>1.443202261088977</v>
      </c>
    </row>
    <row r="94" spans="1:27" ht="10.5">
      <c r="A94" s="138">
        <f t="shared" si="32"/>
        <v>90</v>
      </c>
      <c r="B94" s="138">
        <f t="shared" si="33"/>
        <v>7</v>
      </c>
      <c r="C94" s="142">
        <f t="shared" si="34"/>
        <v>210652173.65366995</v>
      </c>
      <c r="D94" s="143">
        <f t="shared" si="35"/>
        <v>34.767962496413965</v>
      </c>
      <c r="E94" s="144">
        <f>(F94-D94)/Dimensions!$D$6</f>
        <v>0.10486883766969195</v>
      </c>
      <c r="F94" s="143">
        <f>SQRT(2*Dimensions!$D$6*Dimensions!$D$20+(D94*D94))</f>
        <v>35.79637448334745</v>
      </c>
      <c r="G94" s="145">
        <f t="shared" si="36"/>
        <v>134962786023.09744</v>
      </c>
      <c r="H94" s="142">
        <f>IF(Dimensions!$D$52="y",C94+Dimensions!$D$53,C94+LOOKUP(110-B95,'Tower Mass'!$A$8:$A$124,'Tower Mass'!$AC$8:$AC$124))</f>
        <v>216533904.44261315</v>
      </c>
      <c r="I94" s="143">
        <f t="shared" si="37"/>
        <v>34.8240342003178</v>
      </c>
      <c r="J94" s="145">
        <f t="shared" si="38"/>
        <v>131296779187.09181</v>
      </c>
      <c r="K94" s="145">
        <f t="shared" si="29"/>
        <v>3666006836.0056305</v>
      </c>
      <c r="L94" s="145">
        <f>IF(Dimensions!$D$63="y",Dimensions!$D$64,LOOKUP(110-B95,'Tower Mass'!$A$8:$A$124,'Tower Mass'!$AK$8:$AK$124))</f>
        <v>0</v>
      </c>
      <c r="M94" s="145">
        <f>IF(Dimensions!$D$57="y",Dimensions!$D$61,LOOKUP(110-B95,'Tower Mass'!$A$8:$A$124,'Tower Mass'!$AO$8:$AO$124))</f>
        <v>2363841106.8104343</v>
      </c>
      <c r="N94" s="145">
        <f t="shared" si="30"/>
        <v>128932938080.28137</v>
      </c>
      <c r="O94" s="142">
        <f>IF(Dimensions!$D$66="y",((H94-C94)*(Dimensions!$D$67/100))+(H94*Dimensions!$D$68/100),0)</f>
        <v>2224156.3523155637</v>
      </c>
      <c r="P94" s="142">
        <f t="shared" si="24"/>
        <v>214309748.09029758</v>
      </c>
      <c r="Q94" s="143">
        <f t="shared" si="25"/>
        <v>34.509127891196314</v>
      </c>
      <c r="R94" s="144">
        <f t="shared" si="26"/>
        <v>14.270644618395648</v>
      </c>
      <c r="S94" s="138">
        <f t="shared" si="31"/>
      </c>
      <c r="U94" s="138">
        <f t="shared" si="41"/>
        <v>7232433583.91687</v>
      </c>
      <c r="V94" s="140">
        <f t="shared" si="27"/>
        <v>0.00284472755680665</v>
      </c>
      <c r="W94" s="140">
        <f t="shared" si="39"/>
        <v>0.3706114180396873</v>
      </c>
      <c r="Y94" s="140">
        <f>(Q94*Q94-F94*F94)/(2*Dimensions!$D$6-20000000000/C94)</f>
        <v>1.201388420794408</v>
      </c>
      <c r="Z94" s="140">
        <f t="shared" si="28"/>
        <v>0.03402383087800775</v>
      </c>
      <c r="AA94" s="140">
        <f t="shared" si="40"/>
        <v>1.4772260919669846</v>
      </c>
    </row>
    <row r="95" spans="1:27" ht="10.5">
      <c r="A95" s="138">
        <f t="shared" si="32"/>
        <v>91</v>
      </c>
      <c r="B95" s="138">
        <f t="shared" si="33"/>
        <v>6</v>
      </c>
      <c r="C95" s="142">
        <f t="shared" si="34"/>
        <v>214309748.09029758</v>
      </c>
      <c r="D95" s="143">
        <f t="shared" si="35"/>
        <v>34.509127891196314</v>
      </c>
      <c r="E95" s="144">
        <f>(F95-D95)/Dimensions!$D$6</f>
        <v>0.10563256032233814</v>
      </c>
      <c r="F95" s="143">
        <f>SQRT(2*Dimensions!$D$6*Dimensions!$D$20+(D95*D95))</f>
        <v>35.54502943888137</v>
      </c>
      <c r="G95" s="145">
        <f t="shared" si="36"/>
        <v>135384731081.486</v>
      </c>
      <c r="H95" s="142">
        <f>IF(Dimensions!$D$52="y",C95+Dimensions!$D$53,C95+LOOKUP(110-B96,'Tower Mass'!$A$8:$A$124,'Tower Mass'!$AC$8:$AC$124))</f>
        <v>217028992.7718157</v>
      </c>
      <c r="I95" s="143">
        <f t="shared" si="37"/>
        <v>35.09967128179078</v>
      </c>
      <c r="J95" s="145">
        <f t="shared" si="38"/>
        <v>133688440621.62492</v>
      </c>
      <c r="K95" s="145">
        <f t="shared" si="29"/>
        <v>1696290459.8610687</v>
      </c>
      <c r="L95" s="145">
        <f>IF(Dimensions!$D$63="y",Dimensions!$D$64,LOOKUP(110-B96,'Tower Mass'!$A$8:$A$124,'Tower Mass'!$AK$8:$AK$124))</f>
        <v>0</v>
      </c>
      <c r="M95" s="145">
        <f>IF(Dimensions!$D$57="y",Dimensions!$D$61,LOOKUP(110-B96,'Tower Mass'!$A$8:$A$124,'Tower Mass'!$AO$8:$AO$124))</f>
        <v>2434403527.9092536</v>
      </c>
      <c r="N95" s="145">
        <f t="shared" si="30"/>
        <v>131254037093.71567</v>
      </c>
      <c r="O95" s="142">
        <f>IF(Dimensions!$D$66="y",((H95-C95)*(Dimensions!$D$67/100))+(H95*Dimensions!$D$68/100),0)</f>
        <v>2197482.374533338</v>
      </c>
      <c r="P95" s="142">
        <f t="shared" si="24"/>
        <v>214831510.39728236</v>
      </c>
      <c r="Q95" s="143">
        <f t="shared" si="25"/>
        <v>34.77862881924433</v>
      </c>
      <c r="R95" s="144">
        <f t="shared" si="26"/>
        <v>14.376277178717986</v>
      </c>
      <c r="S95" s="138">
        <f t="shared" si="31"/>
      </c>
      <c r="U95" s="138">
        <f t="shared" si="41"/>
        <v>3371327405.3765564</v>
      </c>
      <c r="V95" s="140">
        <f t="shared" si="27"/>
        <v>0.0028439931163121847</v>
      </c>
      <c r="W95" s="140">
        <f t="shared" si="39"/>
        <v>0.37345541115599945</v>
      </c>
      <c r="Y95" s="140">
        <f>(Q95*Q95-F95*F95)/(2*Dimensions!$D$6-20000000000/C95)</f>
        <v>0.7311953910434117</v>
      </c>
      <c r="Z95" s="140">
        <f t="shared" si="28"/>
        <v>0.020700643744944007</v>
      </c>
      <c r="AA95" s="140">
        <f t="shared" si="40"/>
        <v>1.4979267357119286</v>
      </c>
    </row>
    <row r="96" spans="1:27" ht="10.5">
      <c r="A96" s="138">
        <f t="shared" si="32"/>
        <v>92</v>
      </c>
      <c r="B96" s="138">
        <f t="shared" si="33"/>
        <v>5</v>
      </c>
      <c r="C96" s="142">
        <f t="shared" si="34"/>
        <v>214831510.39728236</v>
      </c>
      <c r="D96" s="143">
        <f t="shared" si="35"/>
        <v>34.77862881924433</v>
      </c>
      <c r="E96" s="144">
        <f>(F96-D96)/Dimensions!$D$6</f>
        <v>0.10483759885081032</v>
      </c>
      <c r="F96" s="143">
        <f>SQRT(2*Dimensions!$D$6*Dimensions!$D$20+(D96*D96))</f>
        <v>35.80673445801463</v>
      </c>
      <c r="G96" s="145">
        <f t="shared" si="36"/>
        <v>137720127865.9794</v>
      </c>
      <c r="H96" s="142">
        <f>IF(Dimensions!$D$52="y",C96+Dimensions!$D$53,C96+LOOKUP(110-B97,'Tower Mass'!$A$8:$A$124,'Tower Mass'!$AC$8:$AC$124))</f>
        <v>217562690.0499972</v>
      </c>
      <c r="I96" s="143">
        <f t="shared" si="37"/>
        <v>35.35723355986238</v>
      </c>
      <c r="J96" s="145">
        <f t="shared" si="38"/>
        <v>135991254174.85884</v>
      </c>
      <c r="K96" s="145">
        <f t="shared" si="29"/>
        <v>1728873691.1205597</v>
      </c>
      <c r="L96" s="145">
        <f>IF(Dimensions!$D$63="y",Dimensions!$D$64,LOOKUP(110-B97,'Tower Mass'!$A$8:$A$124,'Tower Mass'!$AK$8:$AK$124))</f>
        <v>0</v>
      </c>
      <c r="M96" s="145">
        <f>IF(Dimensions!$D$57="y",Dimensions!$D$61,LOOKUP(110-B97,'Tower Mass'!$A$8:$A$124,'Tower Mass'!$AO$8:$AO$124))</f>
        <v>2471288429.8472724</v>
      </c>
      <c r="N96" s="145">
        <f t="shared" si="30"/>
        <v>133519965745.01157</v>
      </c>
      <c r="O96" s="142">
        <f>IF(Dimensions!$D$66="y",((H96-C96)*(Dimensions!$D$67/100))+(H96*Dimensions!$D$68/100),0)</f>
        <v>2202938.6970271207</v>
      </c>
      <c r="P96" s="142">
        <f t="shared" si="24"/>
        <v>215359751.3529701</v>
      </c>
      <c r="Q96" s="143">
        <f t="shared" si="25"/>
        <v>35.03449759441585</v>
      </c>
      <c r="R96" s="144">
        <f t="shared" si="26"/>
        <v>14.481114777568797</v>
      </c>
      <c r="S96" s="138">
        <f t="shared" si="31"/>
      </c>
      <c r="U96" s="138">
        <f t="shared" si="41"/>
        <v>3436043915.317505</v>
      </c>
      <c r="V96" s="140">
        <f t="shared" si="27"/>
        <v>0.00282321459135518</v>
      </c>
      <c r="W96" s="140">
        <f t="shared" si="39"/>
        <v>0.37627862574735466</v>
      </c>
      <c r="Y96" s="140">
        <f>(Q96*Q96-F96*F96)/(2*Dimensions!$D$6-20000000000/C96)</f>
        <v>0.744475263665376</v>
      </c>
      <c r="Z96" s="140">
        <f t="shared" si="28"/>
        <v>0.020922814857045557</v>
      </c>
      <c r="AA96" s="140">
        <f t="shared" si="40"/>
        <v>1.518849550568974</v>
      </c>
    </row>
    <row r="97" spans="1:27" ht="10.5">
      <c r="A97" s="138">
        <f t="shared" si="32"/>
        <v>93</v>
      </c>
      <c r="B97" s="138">
        <f t="shared" si="33"/>
        <v>4</v>
      </c>
      <c r="C97" s="142">
        <f t="shared" si="34"/>
        <v>215359751.3529701</v>
      </c>
      <c r="D97" s="143">
        <f t="shared" si="35"/>
        <v>35.03449759441585</v>
      </c>
      <c r="E97" s="144">
        <f>(F97-D97)/Dimensions!$D$6</f>
        <v>0.10409368745437311</v>
      </c>
      <c r="F97" s="143">
        <f>SQRT(2*Dimensions!$D$6*Dimensions!$D$20+(D97*D97))</f>
        <v>36.05530795449028</v>
      </c>
      <c r="G97" s="145">
        <f t="shared" si="36"/>
        <v>139982248129.98285</v>
      </c>
      <c r="H97" s="142">
        <f>IF(Dimensions!$D$52="y",C97+Dimensions!$D$53,C97+LOOKUP(110-B98,'Tower Mass'!$A$8:$A$124,'Tower Mass'!$AC$8:$AC$124))</f>
        <v>218102865.97688165</v>
      </c>
      <c r="I97" s="143">
        <f t="shared" si="37"/>
        <v>35.601834580462814</v>
      </c>
      <c r="J97" s="145">
        <f t="shared" si="38"/>
        <v>138221669009.60544</v>
      </c>
      <c r="K97" s="145">
        <f t="shared" si="29"/>
        <v>1760579120.377411</v>
      </c>
      <c r="L97" s="145">
        <f>IF(Dimensions!$D$63="y",Dimensions!$D$64,LOOKUP(110-B98,'Tower Mass'!$A$8:$A$124,'Tower Mass'!$AK$8:$AK$124))</f>
        <v>0</v>
      </c>
      <c r="M97" s="145">
        <f>IF(Dimensions!$D$57="y",Dimensions!$D$61,LOOKUP(110-B98,'Tower Mass'!$A$8:$A$124,'Tower Mass'!$AO$8:$AO$124))</f>
        <v>2548516193.28</v>
      </c>
      <c r="N97" s="145">
        <f t="shared" si="30"/>
        <v>135673152816.32544</v>
      </c>
      <c r="O97" s="142">
        <f>IF(Dimensions!$D$66="y",((H97-C97)*(Dimensions!$D$67/100))+(H97*Dimensions!$D$68/100),0)</f>
        <v>2208459.806007932</v>
      </c>
      <c r="P97" s="142">
        <f t="shared" si="24"/>
        <v>215894406.17087373</v>
      </c>
      <c r="Q97" s="143">
        <f t="shared" si="25"/>
        <v>35.272096199979394</v>
      </c>
      <c r="R97" s="144">
        <f t="shared" si="26"/>
        <v>14.58520846502317</v>
      </c>
      <c r="S97" s="138">
        <f t="shared" si="31"/>
      </c>
      <c r="U97" s="138">
        <f t="shared" si="41"/>
        <v>3499015155.60997</v>
      </c>
      <c r="V97" s="140">
        <f t="shared" si="27"/>
        <v>0.0028039713819792383</v>
      </c>
      <c r="W97" s="140">
        <f t="shared" si="39"/>
        <v>0.3790825971293339</v>
      </c>
      <c r="Y97" s="140">
        <f>(Q97*Q97-F97*F97)/(2*Dimensions!$D$6-20000000000/C97)</f>
        <v>0.7626072514150994</v>
      </c>
      <c r="Z97" s="140">
        <f t="shared" si="28"/>
        <v>0.021284891482886384</v>
      </c>
      <c r="AA97" s="140">
        <f t="shared" si="40"/>
        <v>1.5401344420518606</v>
      </c>
    </row>
    <row r="98" spans="1:27" ht="10.5">
      <c r="A98" s="138">
        <f t="shared" si="32"/>
        <v>94</v>
      </c>
      <c r="B98" s="138">
        <f t="shared" si="33"/>
        <v>3</v>
      </c>
      <c r="C98" s="142">
        <f t="shared" si="34"/>
        <v>215894406.17087373</v>
      </c>
      <c r="D98" s="143">
        <f t="shared" si="35"/>
        <v>35.272096199979394</v>
      </c>
      <c r="E98" s="144">
        <f>(F98-D98)/Dimensions!$D$6</f>
        <v>0.10341215503221278</v>
      </c>
      <c r="F98" s="143">
        <f>SQRT(2*Dimensions!$D$6*Dimensions!$D$20+(D98*D98))</f>
        <v>36.286223010126044</v>
      </c>
      <c r="G98" s="145">
        <f t="shared" si="36"/>
        <v>142133000708.3867</v>
      </c>
      <c r="H98" s="142">
        <f>IF(Dimensions!$D$52="y",C98+Dimensions!$D$53,C98+LOOKUP(110-B99,'Tower Mass'!$A$8:$A$124,'Tower Mass'!$AC$8:$AC$124))</f>
        <v>218649455.765982</v>
      </c>
      <c r="I98" s="143">
        <f t="shared" si="37"/>
        <v>35.829005572004206</v>
      </c>
      <c r="J98" s="145">
        <f t="shared" si="38"/>
        <v>140342081702.06512</v>
      </c>
      <c r="K98" s="145">
        <f t="shared" si="29"/>
        <v>1790919006.3215637</v>
      </c>
      <c r="L98" s="145">
        <f>IF(Dimensions!$D$63="y",Dimensions!$D$64,LOOKUP(110-B99,'Tower Mass'!$A$8:$A$124,'Tower Mass'!$AK$8:$AK$124))</f>
        <v>0</v>
      </c>
      <c r="M98" s="145">
        <f>IF(Dimensions!$D$57="y",Dimensions!$D$61,LOOKUP(110-B99,'Tower Mass'!$A$8:$A$124,'Tower Mass'!$AO$8:$AO$124))</f>
        <v>2588968831.268571</v>
      </c>
      <c r="N98" s="145">
        <f t="shared" si="30"/>
        <v>137753112870.79654</v>
      </c>
      <c r="O98" s="142">
        <f>IF(Dimensions!$D$66="y",((H98-C98)*(Dimensions!$D$67/100))+(H98*Dimensions!$D$68/100),0)</f>
        <v>2214045.0536109027</v>
      </c>
      <c r="P98" s="142">
        <f t="shared" si="24"/>
        <v>216435410.7123711</v>
      </c>
      <c r="Q98" s="143">
        <f t="shared" si="25"/>
        <v>35.49698837057177</v>
      </c>
      <c r="R98" s="144">
        <f t="shared" si="26"/>
        <v>14.688620620055383</v>
      </c>
      <c r="S98" s="138">
        <f t="shared" si="31"/>
      </c>
      <c r="U98" s="138">
        <f t="shared" si="41"/>
        <v>3559271888.863159</v>
      </c>
      <c r="V98" s="140">
        <f t="shared" si="27"/>
        <v>0.002786166795175997</v>
      </c>
      <c r="W98" s="140">
        <f t="shared" si="39"/>
        <v>0.3818687639245099</v>
      </c>
      <c r="Y98" s="140">
        <f>(Q98*Q98-F98*F98)/(2*Dimensions!$D$6-20000000000/C98)</f>
        <v>0.7758181873692707</v>
      </c>
      <c r="Z98" s="140">
        <f t="shared" si="28"/>
        <v>0.021516070949860765</v>
      </c>
      <c r="AA98" s="140">
        <f t="shared" si="40"/>
        <v>1.5616505130017213</v>
      </c>
    </row>
    <row r="99" spans="1:27" ht="10.5">
      <c r="A99" s="138">
        <f t="shared" si="32"/>
        <v>95</v>
      </c>
      <c r="B99" s="138">
        <f t="shared" si="33"/>
        <v>2</v>
      </c>
      <c r="C99" s="142">
        <f t="shared" si="34"/>
        <v>216435410.7123711</v>
      </c>
      <c r="D99" s="143">
        <f t="shared" si="35"/>
        <v>35.49698837057177</v>
      </c>
      <c r="E99" s="144">
        <f>(F99-D99)/Dimensions!$D$6</f>
        <v>0.10277512782329427</v>
      </c>
      <c r="F99" s="143">
        <f>SQRT(2*Dimensions!$D$6*Dimensions!$D$20+(D99*D99))</f>
        <v>36.50486807784008</v>
      </c>
      <c r="G99" s="145">
        <f t="shared" si="36"/>
        <v>144211497816.91553</v>
      </c>
      <c r="H99" s="142">
        <f>IF(Dimensions!$D$52="y",C99+Dimensions!$D$53,C99+LOOKUP(110-B100,'Tower Mass'!$A$8:$A$124,'Tower Mass'!$AC$8:$AC$124))</f>
        <v>222376816.35729787</v>
      </c>
      <c r="I99" s="143">
        <f t="shared" si="37"/>
        <v>35.52954055576375</v>
      </c>
      <c r="J99" s="145">
        <f t="shared" si="38"/>
        <v>140358492718.50592</v>
      </c>
      <c r="K99" s="145">
        <f t="shared" si="29"/>
        <v>3853005098.409607</v>
      </c>
      <c r="L99" s="145">
        <f>IF(Dimensions!$D$63="y",Dimensions!$D$64,LOOKUP(110-B100,'Tower Mass'!$A$8:$A$124,'Tower Mass'!$AK$8:$AK$124))</f>
        <v>0</v>
      </c>
      <c r="M99" s="145">
        <f>IF(Dimensions!$D$57="y",Dimensions!$D$61,LOOKUP(110-B100,'Tower Mass'!$A$8:$A$124,'Tower Mass'!$AO$8:$AO$124))</f>
        <v>2673853055.2445903</v>
      </c>
      <c r="N99" s="145">
        <f t="shared" si="30"/>
        <v>137684639663.26132</v>
      </c>
      <c r="O99" s="142">
        <f>IF(Dimensions!$D$66="y",((H99-C99)*(Dimensions!$D$67/100))+(H99*Dimensions!$D$68/100),0)</f>
        <v>2283182.2200222462</v>
      </c>
      <c r="P99" s="142">
        <f t="shared" si="24"/>
        <v>220093634.13727564</v>
      </c>
      <c r="Q99" s="143">
        <f t="shared" si="25"/>
        <v>35.18949138775934</v>
      </c>
      <c r="R99" s="144">
        <f t="shared" si="26"/>
        <v>14.791395747878678</v>
      </c>
      <c r="S99" s="138">
        <f t="shared" si="31"/>
      </c>
      <c r="U99" s="138">
        <f t="shared" si="41"/>
        <v>7603066613.865677</v>
      </c>
      <c r="V99" s="140">
        <f t="shared" si="27"/>
        <v>0.00278961973425489</v>
      </c>
      <c r="W99" s="140">
        <f t="shared" si="39"/>
        <v>0.3846583836587648</v>
      </c>
      <c r="Y99" s="140">
        <f>(Q99*Q99-F99*F99)/(2*Dimensions!$D$6-20000000000/C99)</f>
        <v>1.2955237766420074</v>
      </c>
      <c r="Z99" s="140">
        <f t="shared" si="28"/>
        <v>0.03596958179337782</v>
      </c>
      <c r="AA99" s="140">
        <f t="shared" si="40"/>
        <v>1.5976200947950991</v>
      </c>
    </row>
    <row r="100" spans="1:27" ht="10.5">
      <c r="A100" s="138">
        <f t="shared" si="32"/>
        <v>96</v>
      </c>
      <c r="B100" s="138">
        <f t="shared" si="33"/>
        <v>1</v>
      </c>
      <c r="C100" s="142">
        <f t="shared" si="34"/>
        <v>220093634.13727564</v>
      </c>
      <c r="D100" s="143">
        <f t="shared" si="35"/>
        <v>35.18949138775934</v>
      </c>
      <c r="E100" s="144">
        <f>(F100-D100)/Dimensions!$D$6</f>
        <v>0.10364810019748129</v>
      </c>
      <c r="F100" s="143">
        <f>SQRT(2*Dimensions!$D$6*Dimensions!$D$20+(D100*D100))</f>
        <v>36.20593202956097</v>
      </c>
      <c r="G100" s="145">
        <f t="shared" si="36"/>
        <v>144257017622.229</v>
      </c>
      <c r="H100" s="142">
        <f>IF(Dimensions!$D$52="y",C100+Dimensions!$D$53,C100+LOOKUP(110-B101,'Tower Mass'!$A$8:$A$124,'Tower Mass'!$AC$8:$AC$124))</f>
        <v>226602290.857791</v>
      </c>
      <c r="I100" s="143">
        <f t="shared" si="37"/>
        <v>35.165995575544216</v>
      </c>
      <c r="J100" s="145">
        <f t="shared" si="38"/>
        <v>140113549329.5026</v>
      </c>
      <c r="K100" s="145">
        <f t="shared" si="29"/>
        <v>4143468292.72641</v>
      </c>
      <c r="L100" s="145">
        <f>IF(Dimensions!$D$63="y",Dimensions!$D$64,LOOKUP(110-B101,'Tower Mass'!$A$8:$A$124,'Tower Mass'!$AK$8:$AK$124))</f>
        <v>0</v>
      </c>
      <c r="M100" s="145">
        <f>IF(Dimensions!$D$57="y",Dimensions!$D$61,LOOKUP(110-B101,'Tower Mass'!$A$8:$A$124,'Tower Mass'!$AO$8:$AO$124))</f>
        <v>5436834545.663999</v>
      </c>
      <c r="N100" s="145">
        <f t="shared" si="30"/>
        <v>134676714783.8386</v>
      </c>
      <c r="O100" s="142">
        <f>IF(Dimensions!$D$66="y",((H100-C100)*(Dimensions!$D$67/100))+(H100*Dimensions!$D$68/100),0)</f>
        <v>2331109.475783064</v>
      </c>
      <c r="P100" s="142">
        <f t="shared" si="24"/>
        <v>224271181.38200796</v>
      </c>
      <c r="Q100" s="143">
        <f t="shared" si="25"/>
        <v>34.47697125381415</v>
      </c>
      <c r="R100" s="144">
        <f t="shared" si="26"/>
        <v>14.89504384807616</v>
      </c>
      <c r="S100" s="138">
        <f t="shared" si="31"/>
      </c>
      <c r="U100" s="138">
        <f t="shared" si="41"/>
        <v>8167924493.176056</v>
      </c>
      <c r="V100" s="140">
        <f t="shared" si="27"/>
        <v>0.002829538554722055</v>
      </c>
      <c r="W100" s="140">
        <f t="shared" si="39"/>
        <v>0.3874879222134869</v>
      </c>
      <c r="Y100" s="140">
        <f>(Q100*Q100-F100*F100)/(2*Dimensions!$D$6-20000000000/C100)</f>
        <v>1.715028264932719</v>
      </c>
      <c r="Z100" s="140">
        <f t="shared" si="28"/>
        <v>0.04805890277818542</v>
      </c>
      <c r="AA100" s="140">
        <f t="shared" si="40"/>
        <v>1.6456789975732846</v>
      </c>
    </row>
    <row r="101" spans="1:29" ht="10.5">
      <c r="A101" s="138">
        <f t="shared" si="32"/>
        <v>97</v>
      </c>
      <c r="B101" s="139">
        <f t="shared" si="33"/>
        <v>0</v>
      </c>
      <c r="C101" s="142">
        <f t="shared" si="34"/>
        <v>224271181.38200796</v>
      </c>
      <c r="D101" s="143">
        <f t="shared" si="35"/>
        <v>34.47697125381415</v>
      </c>
      <c r="E101" s="144">
        <f>(F101-D101)/Dimensions!$D$6</f>
        <v>0.10572820854259171</v>
      </c>
      <c r="F101" s="143">
        <f>SQRT(2*Dimensions!$D$6*Dimensions!$D$20+(D101*D101))</f>
        <v>35.513810790118356</v>
      </c>
      <c r="G101" s="145">
        <f t="shared" si="36"/>
        <v>141428855915.50354</v>
      </c>
      <c r="H101" s="142">
        <f>IF(Dimensions!$D$52="y",C101+Dimensions!$D$53,C101+LOOKUP(110-B102,'Tower Mass'!$A$8:$A$124,'Tower Mass'!$AC$8:$AC$124))</f>
        <v>233095625.27103934</v>
      </c>
      <c r="I101" s="143">
        <f t="shared" si="37"/>
        <v>34.16934269794085</v>
      </c>
      <c r="J101" s="145">
        <f t="shared" si="38"/>
        <v>136074697072.47469</v>
      </c>
      <c r="K101" s="145">
        <f t="shared" si="29"/>
        <v>5354158843.028854</v>
      </c>
      <c r="L101" s="145">
        <f>IF(Dimensions!$D$63="y",Dimensions!$D$64,LOOKUP(110-B102,'Tower Mass'!$A$8:$A$124,'Tower Mass'!$AK$8:$AK$124))</f>
        <v>0</v>
      </c>
      <c r="M101" s="145">
        <f>IF(Dimensions!$D$57="y",Dimensions!$D$61,LOOKUP(110-B102,'Tower Mass'!$A$8:$A$124,'Tower Mass'!$AO$8:$AO$124))</f>
        <v>0</v>
      </c>
      <c r="N101" s="145">
        <f t="shared" si="30"/>
        <v>136074697072.47469</v>
      </c>
      <c r="O101" s="142">
        <f>IF(Dimensions!$D$66="y",((H101-C101)*(Dimensions!$D$67/100))+(H101*Dimensions!$D$68/100),0)</f>
        <v>2419200.691600707</v>
      </c>
      <c r="P101" s="142">
        <f aca="true" t="shared" si="42" ref="P101:P121">H101-O101</f>
        <v>230676424.57943863</v>
      </c>
      <c r="Q101" s="143">
        <f aca="true" t="shared" si="43" ref="Q101:Q121">SQRT(2*N101/H101)</f>
        <v>34.16934269794085</v>
      </c>
      <c r="R101" s="144">
        <f aca="true" t="shared" si="44" ref="R101:R121">IF(ISERROR(R100+E101),R100,R100+E101)</f>
        <v>15.000772056618752</v>
      </c>
      <c r="S101" s="138">
        <f t="shared" si="31"/>
      </c>
      <c r="U101" s="139">
        <f t="shared" si="41"/>
        <v>10505622014.578064</v>
      </c>
      <c r="V101" s="146">
        <f aca="true" t="shared" si="45" ref="V101:V121">2*0.1/(F101+Q101)</f>
        <v>0.002870134171443198</v>
      </c>
      <c r="W101" s="146">
        <f t="shared" si="39"/>
        <v>0.3903580563849301</v>
      </c>
      <c r="X101" s="146"/>
      <c r="Y101" s="146">
        <f>(Q101*Q101-F101*F101)/(2*Dimensions!$D$6-20000000000/C101)</f>
        <v>1.3467622111096496</v>
      </c>
      <c r="Z101" s="146">
        <f aca="true" t="shared" si="46" ref="Z101:Z121">2*Y101/(I101+F101)</f>
        <v>0.038653882429142035</v>
      </c>
      <c r="AA101" s="146">
        <f t="shared" si="40"/>
        <v>1.6843328800024266</v>
      </c>
      <c r="AC101" s="146"/>
    </row>
    <row r="102" spans="1:27" ht="10.5">
      <c r="A102" s="138">
        <f t="shared" si="32"/>
        <v>98</v>
      </c>
      <c r="B102" s="138">
        <f t="shared" si="33"/>
        <v>-1</v>
      </c>
      <c r="C102" s="142">
        <f t="shared" si="34"/>
        <v>230676424.57943863</v>
      </c>
      <c r="D102" s="143">
        <f t="shared" si="35"/>
        <v>34.16934269794085</v>
      </c>
      <c r="E102" s="144">
        <f>(F102-D102)/Dimensions!$D$6</f>
        <v>0.10665193358731662</v>
      </c>
      <c r="F102" s="143">
        <f>SQRT(2*Dimensions!$D$6*Dimensions!$D$20+(D102*D102))</f>
        <v>35.21524088245491</v>
      </c>
      <c r="G102" s="145">
        <f t="shared" si="36"/>
        <v>143032438418.71167</v>
      </c>
      <c r="H102" s="142">
        <f>IF(Dimensions!$D$52="y",C102+Dimensions!$D$53,C102+LOOKUP(110-B103,'Tower Mass'!$A$8:$A$124,'Tower Mass'!$AC$8:$AC$124))</f>
        <v>239512803.43966672</v>
      </c>
      <c r="I102" s="143">
        <f t="shared" si="37"/>
        <v>33.91604014820293</v>
      </c>
      <c r="J102" s="145">
        <f t="shared" si="38"/>
        <v>137755522959.41617</v>
      </c>
      <c r="K102" s="145">
        <f t="shared" si="29"/>
        <v>5276915459.295502</v>
      </c>
      <c r="L102" s="145">
        <f>IF(Dimensions!$D$63="y",Dimensions!$D$64,LOOKUP(110-B103,'Tower Mass'!$A$8:$A$124,'Tower Mass'!$AK$8:$AK$124))</f>
        <v>0</v>
      </c>
      <c r="M102" s="145">
        <f>IF(Dimensions!$D$57="y",Dimensions!$D$61,LOOKUP(110-B103,'Tower Mass'!$A$8:$A$124,'Tower Mass'!$AO$8:$AO$124))</f>
        <v>0</v>
      </c>
      <c r="N102" s="145">
        <f t="shared" si="30"/>
        <v>137755522959.41617</v>
      </c>
      <c r="O102" s="142">
        <f>IF(Dimensions!$D$66="y",((H102-C102)*(Dimensions!$D$67/100))+(H102*Dimensions!$D$68/100),0)</f>
        <v>2483491.822998948</v>
      </c>
      <c r="P102" s="142">
        <f t="shared" si="42"/>
        <v>237029311.61666778</v>
      </c>
      <c r="Q102" s="143">
        <f t="shared" si="43"/>
        <v>33.91604014820293</v>
      </c>
      <c r="R102" s="144">
        <f t="shared" si="44"/>
        <v>15.107423990206069</v>
      </c>
      <c r="S102" s="138">
        <f t="shared" si="31"/>
      </c>
      <c r="U102" s="138">
        <f t="shared" si="41"/>
        <v>10359148949.434906</v>
      </c>
      <c r="V102" s="140">
        <f t="shared" si="45"/>
        <v>0.002893046346288671</v>
      </c>
      <c r="W102" s="140">
        <f t="shared" si="39"/>
        <v>0.39325110273121877</v>
      </c>
      <c r="Y102" s="140">
        <f>(Q102*Q102-F102*F102)/(2*Dimensions!$D$6-20000000000/C102)</f>
        <v>1.3387654579286152</v>
      </c>
      <c r="Z102" s="140">
        <f t="shared" si="46"/>
        <v>0.0387311051659786</v>
      </c>
      <c r="AA102" s="140">
        <f t="shared" si="40"/>
        <v>1.7230639851684053</v>
      </c>
    </row>
    <row r="103" spans="1:27" ht="10.5">
      <c r="A103" s="138">
        <f t="shared" si="32"/>
        <v>99</v>
      </c>
      <c r="B103" s="138">
        <f t="shared" si="33"/>
        <v>-2</v>
      </c>
      <c r="C103" s="142">
        <f t="shared" si="34"/>
        <v>237029311.61666778</v>
      </c>
      <c r="D103" s="143">
        <f t="shared" si="35"/>
        <v>33.91604014820293</v>
      </c>
      <c r="E103" s="144">
        <f>(F103-D103)/Dimensions!$D$6</f>
        <v>0.10742455321323502</v>
      </c>
      <c r="F103" s="143">
        <f>SQRT(2*Dimensions!$D$6*Dimensions!$D$20+(D103*D103))</f>
        <v>34.9695151429715</v>
      </c>
      <c r="G103" s="145">
        <f t="shared" si="36"/>
        <v>144927660340.35333</v>
      </c>
      <c r="H103" s="142">
        <f>IF(Dimensions!$D$52="y",C103+Dimensions!$D$53,C103+LOOKUP(110-B104,'Tower Mass'!$A$8:$A$124,'Tower Mass'!$AC$8:$AC$124))</f>
        <v>245877625.44809258</v>
      </c>
      <c r="I103" s="143">
        <f t="shared" si="37"/>
        <v>33.71107918746771</v>
      </c>
      <c r="J103" s="145">
        <f t="shared" si="38"/>
        <v>139712198302.2416</v>
      </c>
      <c r="K103" s="145">
        <f t="shared" si="29"/>
        <v>5215462038.111725</v>
      </c>
      <c r="L103" s="145">
        <f>IF(Dimensions!$D$63="y",Dimensions!$D$64,LOOKUP(110-B104,'Tower Mass'!$A$8:$A$124,'Tower Mass'!$AK$8:$AK$124))</f>
        <v>0</v>
      </c>
      <c r="M103" s="145">
        <f>IF(Dimensions!$D$57="y",Dimensions!$D$61,LOOKUP(110-B104,'Tower Mass'!$A$8:$A$124,'Tower Mass'!$AO$8:$AO$124))</f>
        <v>0</v>
      </c>
      <c r="N103" s="145">
        <f t="shared" si="30"/>
        <v>139712198302.2416</v>
      </c>
      <c r="O103" s="142">
        <f>IF(Dimensions!$D$66="y",((H103-C103)*(Dimensions!$D$67/100))+(H103*Dimensions!$D$68/100),0)</f>
        <v>2547259.392795174</v>
      </c>
      <c r="P103" s="142">
        <f t="shared" si="42"/>
        <v>243330366.0552974</v>
      </c>
      <c r="Q103" s="143">
        <f t="shared" si="43"/>
        <v>33.71107918746771</v>
      </c>
      <c r="R103" s="144">
        <f t="shared" si="44"/>
        <v>15.214848543419304</v>
      </c>
      <c r="S103" s="138">
        <f t="shared" si="31"/>
      </c>
      <c r="U103" s="138">
        <f t="shared" si="41"/>
        <v>10243237031.479187</v>
      </c>
      <c r="V103" s="140">
        <f t="shared" si="45"/>
        <v>0.0029120307118740245</v>
      </c>
      <c r="W103" s="140">
        <f t="shared" si="39"/>
        <v>0.3961631334430928</v>
      </c>
      <c r="Y103" s="140">
        <f>(Q103*Q103-F103*F103)/(2*Dimensions!$D$6-20000000000/C103)</f>
        <v>1.3345304305219357</v>
      </c>
      <c r="Z103" s="140">
        <f t="shared" si="46"/>
        <v>0.0388619359961034</v>
      </c>
      <c r="AA103" s="140">
        <f t="shared" si="40"/>
        <v>1.7619259211645086</v>
      </c>
    </row>
    <row r="104" spans="1:27" ht="10.5">
      <c r="A104" s="138">
        <f t="shared" si="32"/>
        <v>100</v>
      </c>
      <c r="B104" s="138">
        <f t="shared" si="33"/>
        <v>-3</v>
      </c>
      <c r="C104" s="142">
        <f t="shared" si="34"/>
        <v>243330366.0552974</v>
      </c>
      <c r="D104" s="143">
        <f t="shared" si="35"/>
        <v>33.71107918746771</v>
      </c>
      <c r="E104" s="144">
        <f>(F104-D104)/Dimensions!$D$6</f>
        <v>0.10805783828398063</v>
      </c>
      <c r="F104" s="143">
        <f>SQRT(2*Dimensions!$D$6*Dimensions!$D$20+(D104*D104))</f>
        <v>34.77076458727531</v>
      </c>
      <c r="G104" s="145">
        <f t="shared" si="36"/>
        <v>147093944786.1074</v>
      </c>
      <c r="H104" s="142">
        <f>IF(Dimensions!$D$52="y",C104+Dimensions!$D$53,C104+LOOKUP(110-B105,'Tower Mass'!$A$8:$A$124,'Tower Mass'!$AC$8:$AC$124))</f>
        <v>252190614.85791892</v>
      </c>
      <c r="I104" s="143">
        <f t="shared" si="37"/>
        <v>33.54915836107134</v>
      </c>
      <c r="J104" s="145">
        <f t="shared" si="38"/>
        <v>141926072266.7504</v>
      </c>
      <c r="K104" s="145">
        <f t="shared" si="29"/>
        <v>5167872519.356995</v>
      </c>
      <c r="L104" s="145">
        <f>IF(Dimensions!$D$63="y",Dimensions!$D$64,LOOKUP(110-B105,'Tower Mass'!$A$8:$A$124,'Tower Mass'!$AK$8:$AK$124))</f>
        <v>0</v>
      </c>
      <c r="M104" s="145">
        <f>IF(Dimensions!$D$57="y",Dimensions!$D$61,LOOKUP(110-B105,'Tower Mass'!$A$8:$A$124,'Tower Mass'!$AO$8:$AO$124))</f>
        <v>0</v>
      </c>
      <c r="N104" s="145">
        <f t="shared" si="30"/>
        <v>141926072266.7504</v>
      </c>
      <c r="O104" s="142">
        <f>IF(Dimensions!$D$66="y",((H104-C104)*(Dimensions!$D$67/100))+(H104*Dimensions!$D$68/100),0)</f>
        <v>2610508.6366054043</v>
      </c>
      <c r="P104" s="142">
        <f t="shared" si="42"/>
        <v>249580106.2213135</v>
      </c>
      <c r="Q104" s="143">
        <f t="shared" si="43"/>
        <v>33.54915836107134</v>
      </c>
      <c r="R104" s="144">
        <f t="shared" si="44"/>
        <v>15.322906381703286</v>
      </c>
      <c r="S104" s="138">
        <f t="shared" si="31"/>
      </c>
      <c r="U104" s="138">
        <f t="shared" si="41"/>
        <v>10154181437.1996</v>
      </c>
      <c r="V104" s="140">
        <f t="shared" si="45"/>
        <v>0.0029274037699253586</v>
      </c>
      <c r="W104" s="140">
        <f t="shared" si="39"/>
        <v>0.3990905372130181</v>
      </c>
      <c r="Y104" s="140">
        <f>(Q104*Q104-F104*F104)/(2*Dimensions!$D$6-20000000000/C104)</f>
        <v>1.3336646310689075</v>
      </c>
      <c r="Z104" s="140">
        <f t="shared" si="46"/>
        <v>0.03904174868807232</v>
      </c>
      <c r="AA104" s="140">
        <f t="shared" si="40"/>
        <v>1.800967669852581</v>
      </c>
    </row>
    <row r="105" spans="1:27" ht="10.5">
      <c r="A105" s="138">
        <f t="shared" si="32"/>
        <v>101</v>
      </c>
      <c r="B105" s="138">
        <f t="shared" si="33"/>
        <v>-4</v>
      </c>
      <c r="C105" s="142">
        <f t="shared" si="34"/>
        <v>249580106.2213135</v>
      </c>
      <c r="D105" s="143">
        <f t="shared" si="35"/>
        <v>33.54915836107134</v>
      </c>
      <c r="E105" s="144">
        <f>(F105-D105)/Dimensions!$D$6</f>
        <v>0.10856336113626872</v>
      </c>
      <c r="F105" s="143">
        <f>SQRT(2*Dimensions!$D$6*Dimensions!$D$20+(D105*D105))</f>
        <v>34.61380124655833</v>
      </c>
      <c r="G105" s="145">
        <f t="shared" si="36"/>
        <v>149512864025.00287</v>
      </c>
      <c r="H105" s="142">
        <f>IF(Dimensions!$D$52="y",C105+Dimensions!$D$53,C105+LOOKUP(110-B106,'Tower Mass'!$A$8:$A$124,'Tower Mass'!$AC$8:$AC$124))</f>
        <v>258452289.99513173</v>
      </c>
      <c r="I105" s="143">
        <f t="shared" si="37"/>
        <v>33.425574182384636</v>
      </c>
      <c r="J105" s="145">
        <f t="shared" si="38"/>
        <v>144380367012.86685</v>
      </c>
      <c r="K105" s="145">
        <f t="shared" si="29"/>
        <v>5132497012.136017</v>
      </c>
      <c r="L105" s="145">
        <f>IF(Dimensions!$D$63="y",Dimensions!$D$64,LOOKUP(110-B106,'Tower Mass'!$A$8:$A$124,'Tower Mass'!$AK$8:$AK$124))</f>
        <v>0</v>
      </c>
      <c r="M105" s="145">
        <f>IF(Dimensions!$D$57="y",Dimensions!$D$61,LOOKUP(110-B106,'Tower Mass'!$A$8:$A$124,'Tower Mass'!$AO$8:$AO$124))</f>
        <v>0</v>
      </c>
      <c r="N105" s="145">
        <f t="shared" si="30"/>
        <v>144380367012.86685</v>
      </c>
      <c r="O105" s="142">
        <f>IF(Dimensions!$D$66="y",((H105-C105)*(Dimensions!$D$67/100))+(H105*Dimensions!$D$68/100),0)</f>
        <v>2673244.7376894997</v>
      </c>
      <c r="P105" s="142">
        <f t="shared" si="42"/>
        <v>255779045.25744224</v>
      </c>
      <c r="Q105" s="143">
        <f t="shared" si="43"/>
        <v>33.425574182384636</v>
      </c>
      <c r="R105" s="144">
        <f t="shared" si="44"/>
        <v>15.431469742839555</v>
      </c>
      <c r="S105" s="138">
        <f t="shared" si="31"/>
      </c>
      <c r="U105" s="138">
        <f t="shared" si="41"/>
        <v>10088805000.328339</v>
      </c>
      <c r="V105" s="140">
        <f t="shared" si="45"/>
        <v>0.0029394743667050605</v>
      </c>
      <c r="W105" s="140">
        <f t="shared" si="39"/>
        <v>0.4020300115797232</v>
      </c>
      <c r="Y105" s="140">
        <f>(Q105*Q105-F105*F105)/(2*Dimensions!$D$6-20000000000/C105)</f>
        <v>1.3358311522016229</v>
      </c>
      <c r="Z105" s="140">
        <f t="shared" si="46"/>
        <v>0.03926641430142756</v>
      </c>
      <c r="AA105" s="140">
        <f t="shared" si="40"/>
        <v>1.8402340841540086</v>
      </c>
    </row>
    <row r="106" spans="1:27" ht="10.5">
      <c r="A106" s="138">
        <f t="shared" si="32"/>
        <v>102</v>
      </c>
      <c r="B106" s="138">
        <f t="shared" si="33"/>
        <v>-5</v>
      </c>
      <c r="C106" s="142">
        <f t="shared" si="34"/>
        <v>255779045.25744224</v>
      </c>
      <c r="D106" s="143">
        <f t="shared" si="35"/>
        <v>33.425574182384636</v>
      </c>
      <c r="E106" s="144">
        <f>(F106-D106)/Dimensions!$D$6</f>
        <v>0.10895234018789317</v>
      </c>
      <c r="F106" s="143">
        <f>SQRT(2*Dimensions!$D$6*Dimensions!$D$20+(D106*D106))</f>
        <v>34.49403164928824</v>
      </c>
      <c r="G106" s="145">
        <f t="shared" si="36"/>
        <v>152167841887.29974</v>
      </c>
      <c r="H106" s="142">
        <f>IF(Dimensions!$D$52="y",C106+Dimensions!$D$53,C106+LOOKUP(110-B107,'Tower Mass'!$A$8:$A$124,'Tower Mass'!$AC$8:$AC$124))</f>
        <v>264663164.0024572</v>
      </c>
      <c r="I106" s="143">
        <f t="shared" si="37"/>
        <v>33.336148290938695</v>
      </c>
      <c r="J106" s="145">
        <f t="shared" si="38"/>
        <v>147059926013.9488</v>
      </c>
      <c r="K106" s="145">
        <f t="shared" si="29"/>
        <v>5107915873.350952</v>
      </c>
      <c r="L106" s="145">
        <f>IF(Dimensions!$D$63="y",Dimensions!$D$64,LOOKUP(110-B107,'Tower Mass'!$A$8:$A$124,'Tower Mass'!$AK$8:$AK$124))</f>
        <v>0</v>
      </c>
      <c r="M106" s="145">
        <f>IF(Dimensions!$D$57="y",Dimensions!$D$61,LOOKUP(110-B107,'Tower Mass'!$A$8:$A$124,'Tower Mass'!$AO$8:$AO$124))</f>
        <v>0</v>
      </c>
      <c r="N106" s="145">
        <f t="shared" si="30"/>
        <v>147059926013.9488</v>
      </c>
      <c r="O106" s="142">
        <f>IF(Dimensions!$D$66="y",((H106-C106)*(Dimensions!$D$67/100))+(H106*Dimensions!$D$68/100),0)</f>
        <v>2735472.8274747217</v>
      </c>
      <c r="P106" s="142">
        <f t="shared" si="42"/>
        <v>261927691.1749825</v>
      </c>
      <c r="Q106" s="143">
        <f t="shared" si="43"/>
        <v>33.336148290938695</v>
      </c>
      <c r="R106" s="144">
        <f t="shared" si="44"/>
        <v>15.540422083027448</v>
      </c>
      <c r="S106" s="138">
        <f t="shared" si="31"/>
      </c>
      <c r="U106" s="138">
        <f t="shared" si="41"/>
        <v>10044371047.479034</v>
      </c>
      <c r="V106" s="140">
        <f t="shared" si="45"/>
        <v>0.0029485400182668433</v>
      </c>
      <c r="W106" s="140">
        <f t="shared" si="39"/>
        <v>0.40497855159799</v>
      </c>
      <c r="Y106" s="140">
        <f>(Q106*Q106-F106*F106)/(2*Dimensions!$D$6-20000000000/C106)</f>
        <v>1.3407395842308334</v>
      </c>
      <c r="Z106" s="140">
        <f t="shared" si="46"/>
        <v>0.03953224318179061</v>
      </c>
      <c r="AA106" s="140">
        <f t="shared" si="40"/>
        <v>1.8797663273357992</v>
      </c>
    </row>
    <row r="107" spans="1:27" ht="10.5">
      <c r="A107" s="138">
        <f t="shared" si="32"/>
        <v>103</v>
      </c>
      <c r="B107" s="138">
        <f t="shared" si="33"/>
        <v>-6</v>
      </c>
      <c r="C107" s="142">
        <f t="shared" si="34"/>
        <v>261927691.1749825</v>
      </c>
      <c r="D107" s="143">
        <f t="shared" si="35"/>
        <v>33.336148290938695</v>
      </c>
      <c r="E107" s="144">
        <f>(F107-D107)/Dimensions!$D$6</f>
        <v>0.10923552224227173</v>
      </c>
      <c r="F107" s="143">
        <f>SQRT(2*Dimensions!$D$6*Dimensions!$D$20+(D107*D107))</f>
        <v>34.40738282513587</v>
      </c>
      <c r="G107" s="145">
        <f t="shared" si="36"/>
        <v>155043905014.91425</v>
      </c>
      <c r="H107" s="142">
        <f>IF(Dimensions!$D$52="y",C107+Dimensions!$D$53,C107+LOOKUP(110-B108,'Tower Mass'!$A$8:$A$124,'Tower Mass'!$AC$8:$AC$124))</f>
        <v>266258590.9327825</v>
      </c>
      <c r="I107" s="143">
        <f t="shared" si="37"/>
        <v>33.84772041040638</v>
      </c>
      <c r="J107" s="145">
        <f t="shared" si="38"/>
        <v>152521997239.7508</v>
      </c>
      <c r="K107" s="145">
        <f t="shared" si="29"/>
        <v>2521907775.163452</v>
      </c>
      <c r="L107" s="145">
        <f>IF(Dimensions!$D$63="y",Dimensions!$D$64,LOOKUP(110-B108,'Tower Mass'!$A$8:$A$124,'Tower Mass'!$AK$8:$AK$124))</f>
        <v>0</v>
      </c>
      <c r="M107" s="145">
        <f>IF(Dimensions!$D$57="y",Dimensions!$D$61,LOOKUP(110-B108,'Tower Mass'!$A$8:$A$124,'Tower Mass'!$AO$8:$AO$124))</f>
        <v>0</v>
      </c>
      <c r="N107" s="145">
        <f t="shared" si="30"/>
        <v>152521997239.7508</v>
      </c>
      <c r="O107" s="142">
        <f>IF(Dimensions!$D$66="y",((H107-C107)*(Dimensions!$D$67/100))+(H107*Dimensions!$D$68/100),0)</f>
        <v>2705894.9069058252</v>
      </c>
      <c r="P107" s="142">
        <f t="shared" si="42"/>
        <v>263552696.02587667</v>
      </c>
      <c r="Q107" s="143">
        <f t="shared" si="43"/>
        <v>33.84772041040638</v>
      </c>
      <c r="R107" s="144">
        <f t="shared" si="44"/>
        <v>15.64965760526972</v>
      </c>
      <c r="S107" s="138">
        <f t="shared" si="31"/>
      </c>
      <c r="U107" s="138">
        <f t="shared" si="41"/>
        <v>5002794790.266632</v>
      </c>
      <c r="V107" s="140">
        <f t="shared" si="45"/>
        <v>0.002930183832699189</v>
      </c>
      <c r="W107" s="140">
        <f t="shared" si="39"/>
        <v>0.4079087354306892</v>
      </c>
      <c r="Y107" s="140">
        <f>(Q107*Q107-F107*F107)/(2*Dimensions!$D$6-20000000000/C107)</f>
        <v>0.6731998190865941</v>
      </c>
      <c r="Z107" s="140">
        <f t="shared" si="46"/>
        <v>0.01972599226063557</v>
      </c>
      <c r="AA107" s="140">
        <f t="shared" si="40"/>
        <v>1.8994923195964348</v>
      </c>
    </row>
    <row r="108" spans="1:27" ht="10.5">
      <c r="A108" s="138">
        <f t="shared" si="32"/>
        <v>104</v>
      </c>
      <c r="B108" s="138">
        <f t="shared" si="33"/>
        <v>-7</v>
      </c>
      <c r="C108" s="142">
        <f t="shared" si="34"/>
        <v>263552696.02587667</v>
      </c>
      <c r="D108" s="143">
        <f t="shared" si="35"/>
        <v>33.84772041040638</v>
      </c>
      <c r="E108" s="144">
        <f>(F108-D108)/Dimensions!$D$6</f>
        <v>0.1076348325578517</v>
      </c>
      <c r="F108" s="143">
        <f>SQRT(2*Dimensions!$D$6*Dimensions!$D$20+(D108*D108))</f>
        <v>34.90325754110984</v>
      </c>
      <c r="G108" s="145">
        <f t="shared" si="36"/>
        <v>160534873869.18628</v>
      </c>
      <c r="H108" s="142">
        <f>IF(Dimensions!$D$52="y",C108+Dimensions!$D$53,C108+LOOKUP(110-B109,'Tower Mass'!$A$8:$A$124,'Tower Mass'!$AC$8:$AC$124))</f>
        <v>267883595.78367668</v>
      </c>
      <c r="I108" s="143">
        <f t="shared" si="37"/>
        <v>34.33897323251301</v>
      </c>
      <c r="J108" s="145">
        <f t="shared" si="38"/>
        <v>157939491183.19324</v>
      </c>
      <c r="K108" s="145">
        <f t="shared" si="29"/>
        <v>2595382685.993042</v>
      </c>
      <c r="L108" s="145">
        <f>IF(Dimensions!$D$63="y",Dimensions!$D$64,LOOKUP(110-B109,'Tower Mass'!$A$8:$A$124,'Tower Mass'!$AK$8:$AK$124))</f>
        <v>0</v>
      </c>
      <c r="M108" s="145">
        <f>IF(Dimensions!$D$57="y",Dimensions!$D$61,LOOKUP(110-B109,'Tower Mass'!$A$8:$A$124,'Tower Mass'!$AO$8:$AO$124))</f>
        <v>0</v>
      </c>
      <c r="N108" s="145">
        <f t="shared" si="30"/>
        <v>157939491183.19324</v>
      </c>
      <c r="O108" s="142">
        <f>IF(Dimensions!$D$66="y",((H108-C108)*(Dimensions!$D$67/100))+(H108*Dimensions!$D$68/100),0)</f>
        <v>2722144.955414767</v>
      </c>
      <c r="P108" s="142">
        <f t="shared" si="42"/>
        <v>265161450.8282619</v>
      </c>
      <c r="Q108" s="143">
        <f t="shared" si="43"/>
        <v>34.33897323251301</v>
      </c>
      <c r="R108" s="144">
        <f t="shared" si="44"/>
        <v>15.757292437827571</v>
      </c>
      <c r="S108" s="138">
        <f t="shared" si="31"/>
      </c>
      <c r="U108" s="138">
        <f t="shared" si="41"/>
        <v>5148805571.44928</v>
      </c>
      <c r="V108" s="140">
        <f t="shared" si="45"/>
        <v>0.0028884106962681518</v>
      </c>
      <c r="W108" s="140">
        <f t="shared" si="39"/>
        <v>0.41079714612695734</v>
      </c>
      <c r="Y108" s="140">
        <f>(Q108*Q108-F108*F108)/(2*Dimensions!$D$6-20000000000/C108)</f>
        <v>0.6943366614460501</v>
      </c>
      <c r="Z108" s="140">
        <f t="shared" si="46"/>
        <v>0.020055294397318894</v>
      </c>
      <c r="AA108" s="140">
        <f t="shared" si="40"/>
        <v>1.9195476139937537</v>
      </c>
    </row>
    <row r="109" spans="1:27" ht="10.5">
      <c r="A109" s="138">
        <f t="shared" si="32"/>
        <v>105</v>
      </c>
      <c r="B109" s="138">
        <f t="shared" si="33"/>
        <v>-8</v>
      </c>
      <c r="C109" s="142">
        <f t="shared" si="34"/>
        <v>265161450.8282619</v>
      </c>
      <c r="D109" s="143">
        <f t="shared" si="35"/>
        <v>34.33897323251301</v>
      </c>
      <c r="E109" s="144">
        <f>(F109-D109)/Dimensions!$D$6</f>
        <v>0.106140621670452</v>
      </c>
      <c r="F109" s="143">
        <f>SQRT(2*Dimensions!$D$6*Dimensions!$D$20+(D109*D109))</f>
        <v>35.37985716001755</v>
      </c>
      <c r="G109" s="145">
        <f t="shared" si="36"/>
        <v>165955840547.03714</v>
      </c>
      <c r="H109" s="142">
        <f>IF(Dimensions!$D$52="y",C109+Dimensions!$D$53,C109+LOOKUP(110-B110,'Tower Mass'!$A$8:$A$124,'Tower Mass'!$AC$8:$AC$124))</f>
        <v>269492350.5860619</v>
      </c>
      <c r="I109" s="143">
        <f t="shared" si="37"/>
        <v>34.81128215418863</v>
      </c>
      <c r="J109" s="145">
        <f t="shared" si="38"/>
        <v>163288833086.27756</v>
      </c>
      <c r="K109" s="145">
        <f t="shared" si="29"/>
        <v>2667007460.7595825</v>
      </c>
      <c r="L109" s="145">
        <f>IF(Dimensions!$D$63="y",Dimensions!$D$64,LOOKUP(110-B110,'Tower Mass'!$A$8:$A$124,'Tower Mass'!$AK$8:$AK$124))</f>
        <v>0</v>
      </c>
      <c r="M109" s="145">
        <f>IF(Dimensions!$D$57="y",Dimensions!$D$61,LOOKUP(110-B110,'Tower Mass'!$A$8:$A$124,'Tower Mass'!$AO$8:$AO$124))</f>
        <v>0</v>
      </c>
      <c r="N109" s="145">
        <f t="shared" si="30"/>
        <v>163288833086.27756</v>
      </c>
      <c r="O109" s="142">
        <f>IF(Dimensions!$D$66="y",((H109-C109)*(Dimensions!$D$67/100))+(H109*Dimensions!$D$68/100),0)</f>
        <v>2738232.5034386185</v>
      </c>
      <c r="P109" s="142">
        <f t="shared" si="42"/>
        <v>266754118.08262327</v>
      </c>
      <c r="Q109" s="143">
        <f t="shared" si="43"/>
        <v>34.81128215418863</v>
      </c>
      <c r="R109" s="144">
        <f t="shared" si="44"/>
        <v>15.863433059498023</v>
      </c>
      <c r="S109" s="138">
        <f t="shared" si="31"/>
      </c>
      <c r="U109" s="138">
        <f t="shared" si="41"/>
        <v>5291154551.119995</v>
      </c>
      <c r="V109" s="140">
        <f t="shared" si="45"/>
        <v>0.002849362497233628</v>
      </c>
      <c r="W109" s="140">
        <f t="shared" si="39"/>
        <v>0.41364650862419095</v>
      </c>
      <c r="Y109" s="140">
        <f>(Q109*Q109-F109*F109)/(2*Dimensions!$D$6-20000000000/C109)</f>
        <v>0.7150542746265021</v>
      </c>
      <c r="Z109" s="140">
        <f t="shared" si="46"/>
        <v>0.020374488336073502</v>
      </c>
      <c r="AA109" s="140">
        <f t="shared" si="40"/>
        <v>1.9399221023298272</v>
      </c>
    </row>
    <row r="110" spans="1:27" ht="10.5">
      <c r="A110" s="138">
        <f t="shared" si="32"/>
        <v>106</v>
      </c>
      <c r="B110" s="138">
        <f aca="true" t="shared" si="47" ref="B110:B121">B109-1</f>
        <v>-9</v>
      </c>
      <c r="C110" s="142">
        <f aca="true" t="shared" si="48" ref="C110:C121">P109</f>
        <v>266754118.08262327</v>
      </c>
      <c r="D110" s="143">
        <f aca="true" t="shared" si="49" ref="D110:D121">Q109</f>
        <v>34.81128215418863</v>
      </c>
      <c r="E110" s="144">
        <f>(F110-D110)/Dimensions!$D$6</f>
        <v>0.10474207986518665</v>
      </c>
      <c r="F110" s="143">
        <f>SQRT(2*Dimensions!$D$6*Dimensions!$D$20+(D110*D110))</f>
        <v>35.838451071698564</v>
      </c>
      <c r="G110" s="145">
        <f aca="true" t="shared" si="50" ref="G110:G121">0.5*C110*F110*F110</f>
        <v>171308771091.2625</v>
      </c>
      <c r="H110" s="142">
        <f>IF(Dimensions!$D$52="y",C110+Dimensions!$D$53,C110+LOOKUP(110-B111,'Tower Mass'!$A$8:$A$124,'Tower Mass'!$AC$8:$AC$124))</f>
        <v>271085017.8404233</v>
      </c>
      <c r="I110" s="143">
        <f aca="true" t="shared" si="51" ref="I110:I121">C110*F110/H110</f>
        <v>35.265889960417546</v>
      </c>
      <c r="J110" s="145">
        <f aca="true" t="shared" si="52" ref="J110:J121">0.5*H110*I110*I110</f>
        <v>168571913403.07812</v>
      </c>
      <c r="K110" s="145">
        <f t="shared" si="29"/>
        <v>2736857688.184387</v>
      </c>
      <c r="L110" s="145">
        <f>IF(Dimensions!$D$63="y",Dimensions!$D$64,LOOKUP(110-B111,'Tower Mass'!$A$8:$A$124,'Tower Mass'!$AK$8:$AK$124))</f>
        <v>0</v>
      </c>
      <c r="M110" s="145">
        <f>IF(Dimensions!$D$57="y",Dimensions!$D$61,LOOKUP(110-B111,'Tower Mass'!$A$8:$A$124,'Tower Mass'!$AO$8:$AO$124))</f>
        <v>0</v>
      </c>
      <c r="N110" s="145">
        <f t="shared" si="30"/>
        <v>168571913403.07812</v>
      </c>
      <c r="O110" s="142">
        <f>IF(Dimensions!$D$66="y",((H110-C110)*(Dimensions!$D$67/100))+(H110*Dimensions!$D$68/100),0)</f>
        <v>2754159.175982233</v>
      </c>
      <c r="P110" s="142">
        <f t="shared" si="42"/>
        <v>268330858.66444105</v>
      </c>
      <c r="Q110" s="143">
        <f t="shared" si="43"/>
        <v>35.26588996041755</v>
      </c>
      <c r="R110" s="144">
        <f t="shared" si="44"/>
        <v>15.96817513936321</v>
      </c>
      <c r="S110" s="138">
        <f t="shared" si="31"/>
      </c>
      <c r="U110" s="138">
        <f t="shared" si="41"/>
        <v>5429990878.448151</v>
      </c>
      <c r="V110" s="140">
        <f t="shared" si="45"/>
        <v>0.0028127677874078723</v>
      </c>
      <c r="W110" s="140">
        <f t="shared" si="39"/>
        <v>0.4164592764115988</v>
      </c>
      <c r="Y110" s="140">
        <f>(Q110*Q110-F110*F110)/(2*Dimensions!$D$6-20000000000/C110)</f>
        <v>0.7353689877105515</v>
      </c>
      <c r="Z110" s="140">
        <f t="shared" si="46"/>
        <v>0.020684222004909745</v>
      </c>
      <c r="AA110" s="140">
        <f t="shared" si="40"/>
        <v>1.960606324334737</v>
      </c>
    </row>
    <row r="111" spans="1:27" ht="10.5">
      <c r="A111" s="138">
        <f t="shared" si="32"/>
        <v>107</v>
      </c>
      <c r="B111" s="138">
        <f t="shared" si="47"/>
        <v>-10</v>
      </c>
      <c r="C111" s="142">
        <f t="shared" si="48"/>
        <v>268330858.66444105</v>
      </c>
      <c r="D111" s="143">
        <f t="shared" si="49"/>
        <v>35.26588996041755</v>
      </c>
      <c r="E111" s="144">
        <f>(F111-D111)/Dimensions!$D$6</f>
        <v>0.10342984518592264</v>
      </c>
      <c r="F111" s="143">
        <f>SQRT(2*Dimensions!$D$6*Dimensions!$D$20+(D111*D111))</f>
        <v>36.28019025171008</v>
      </c>
      <c r="G111" s="145">
        <f t="shared" si="50"/>
        <v>176595542153.0948</v>
      </c>
      <c r="H111" s="142">
        <f>IF(Dimensions!$D$52="y",C111+Dimensions!$D$53,C111+LOOKUP(110-B112,'Tower Mass'!$A$8:$A$124,'Tower Mass'!$AC$8:$AC$124))</f>
        <v>272661758.42224103</v>
      </c>
      <c r="I111" s="143">
        <f t="shared" si="51"/>
        <v>35.70392364181481</v>
      </c>
      <c r="J111" s="145">
        <f t="shared" si="52"/>
        <v>173790537171.22635</v>
      </c>
      <c r="K111" s="145">
        <f t="shared" si="29"/>
        <v>2805004981.8684387</v>
      </c>
      <c r="L111" s="145">
        <f>IF(Dimensions!$D$63="y",Dimensions!$D$64,LOOKUP(110-B112,'Tower Mass'!$A$8:$A$124,'Tower Mass'!$AK$8:$AK$124))</f>
        <v>0</v>
      </c>
      <c r="M111" s="145">
        <f>IF(Dimensions!$D$57="y",Dimensions!$D$61,LOOKUP(110-B112,'Tower Mass'!$A$8:$A$124,'Tower Mass'!$AO$8:$AO$124))</f>
        <v>0</v>
      </c>
      <c r="N111" s="145">
        <f t="shared" si="30"/>
        <v>173790537171.22635</v>
      </c>
      <c r="O111" s="142">
        <f>IF(Dimensions!$D$66="y",((H111-C111)*(Dimensions!$D$67/100))+(H111*Dimensions!$D$68/100),0)</f>
        <v>2769926.58180041</v>
      </c>
      <c r="P111" s="142">
        <f t="shared" si="42"/>
        <v>269891831.84044063</v>
      </c>
      <c r="Q111" s="143">
        <f t="shared" si="43"/>
        <v>35.70392364181481</v>
      </c>
      <c r="R111" s="144">
        <f t="shared" si="44"/>
        <v>16.071604984549133</v>
      </c>
      <c r="S111" s="138">
        <f t="shared" si="31"/>
      </c>
      <c r="U111" s="138">
        <f t="shared" si="41"/>
        <v>5565455877.872772</v>
      </c>
      <c r="V111" s="140">
        <f t="shared" si="45"/>
        <v>0.0027783908029461817</v>
      </c>
      <c r="W111" s="140">
        <f t="shared" si="39"/>
        <v>0.419237667214545</v>
      </c>
      <c r="Y111" s="140">
        <f>(Q111*Q111-F111*F111)/(2*Dimensions!$D$6-20000000000/C111)</f>
        <v>0.7552962749008294</v>
      </c>
      <c r="Z111" s="140">
        <f t="shared" si="46"/>
        <v>0.02098508223683975</v>
      </c>
      <c r="AA111" s="140">
        <f t="shared" si="40"/>
        <v>1.9815914065715767</v>
      </c>
    </row>
    <row r="112" spans="1:27" ht="10.5">
      <c r="A112" s="138">
        <f t="shared" si="32"/>
        <v>108</v>
      </c>
      <c r="B112" s="138">
        <f t="shared" si="47"/>
        <v>-11</v>
      </c>
      <c r="C112" s="142">
        <f t="shared" si="48"/>
        <v>269891831.84044063</v>
      </c>
      <c r="D112" s="143">
        <f t="shared" si="49"/>
        <v>35.70392364181481</v>
      </c>
      <c r="E112" s="144">
        <f>(F112-D112)/Dimensions!$D$6</f>
        <v>0.10219576525137582</v>
      </c>
      <c r="F112" s="143">
        <f>SQRT(2*Dimensions!$D$6*Dimensions!$D$20+(D112*D112))</f>
        <v>36.706121743117215</v>
      </c>
      <c r="G112" s="145">
        <f t="shared" si="50"/>
        <v>181817945801.61084</v>
      </c>
      <c r="H112" s="142">
        <f>IF(Dimensions!$D$52="y",C112+Dimensions!$D$53,C112+LOOKUP(110-B113,'Tower Mass'!$A$8:$A$124,'Tower Mass'!$AC$8:$AC$124))</f>
        <v>274222731.5982406</v>
      </c>
      <c r="I112" s="143">
        <f t="shared" si="51"/>
        <v>36.126408555809505</v>
      </c>
      <c r="J112" s="145">
        <f t="shared" si="52"/>
        <v>178946428576.0092</v>
      </c>
      <c r="K112" s="145">
        <f t="shared" si="29"/>
        <v>2871517225.601654</v>
      </c>
      <c r="L112" s="145">
        <f>IF(Dimensions!$D$63="y",Dimensions!$D$64,LOOKUP(110-B113,'Tower Mass'!$A$8:$A$124,'Tower Mass'!$AK$8:$AK$124))</f>
        <v>0</v>
      </c>
      <c r="M112" s="145">
        <f>IF(Dimensions!$D$57="y",Dimensions!$D$61,LOOKUP(110-B113,'Tower Mass'!$A$8:$A$124,'Tower Mass'!$AO$8:$AO$124))</f>
        <v>0</v>
      </c>
      <c r="N112" s="145">
        <f t="shared" si="30"/>
        <v>178946428576.0092</v>
      </c>
      <c r="O112" s="142">
        <f>IF(Dimensions!$D$66="y",((H112-C112)*(Dimensions!$D$67/100))+(H112*Dimensions!$D$68/100),0)</f>
        <v>2785536.3135604057</v>
      </c>
      <c r="P112" s="142">
        <f t="shared" si="42"/>
        <v>271437195.2846802</v>
      </c>
      <c r="Q112" s="143">
        <f t="shared" si="43"/>
        <v>36.126408555809505</v>
      </c>
      <c r="R112" s="144">
        <f t="shared" si="44"/>
        <v>16.17380074980051</v>
      </c>
      <c r="S112" s="138">
        <f t="shared" si="31"/>
      </c>
      <c r="U112" s="138">
        <f t="shared" si="41"/>
        <v>5697683530.860596</v>
      </c>
      <c r="V112" s="140">
        <f t="shared" si="45"/>
        <v>0.0027460257000428184</v>
      </c>
      <c r="W112" s="140">
        <f t="shared" si="39"/>
        <v>0.4219836929145878</v>
      </c>
      <c r="Y112" s="140">
        <f>(Q112*Q112-F112*F112)/(2*Dimensions!$D$6-20000000000/C112)</f>
        <v>0.7748508076013795</v>
      </c>
      <c r="Z112" s="140">
        <f t="shared" si="46"/>
        <v>0.02127760231372321</v>
      </c>
      <c r="AA112" s="140">
        <f t="shared" si="40"/>
        <v>2.0028690088853</v>
      </c>
    </row>
    <row r="113" spans="1:27" ht="10.5">
      <c r="A113" s="138">
        <f t="shared" si="32"/>
        <v>109</v>
      </c>
      <c r="B113" s="138">
        <f t="shared" si="47"/>
        <v>-12</v>
      </c>
      <c r="C113" s="142">
        <f t="shared" si="48"/>
        <v>271437195.2846802</v>
      </c>
      <c r="D113" s="143">
        <f t="shared" si="49"/>
        <v>36.126408555809505</v>
      </c>
      <c r="E113" s="144">
        <f>(F113-D113)/Dimensions!$D$6</f>
        <v>0.10103270512733795</v>
      </c>
      <c r="F113" s="143">
        <f>SQRT(2*Dimensions!$D$6*Dimensions!$D$20+(D113*D113))</f>
        <v>37.11720093354651</v>
      </c>
      <c r="G113" s="145">
        <f t="shared" si="50"/>
        <v>186977694040.40897</v>
      </c>
      <c r="H113" s="142">
        <f>IF(Dimensions!$D$52="y",C113+Dimensions!$D$53,C113+LOOKUP(110-B114,'Tower Mass'!$A$8:$A$124,'Tower Mass'!$AC$8:$AC$124))</f>
        <v>275768095.0424802</v>
      </c>
      <c r="I113" s="143">
        <f t="shared" si="51"/>
        <v>36.534280431054924</v>
      </c>
      <c r="J113" s="145">
        <f t="shared" si="52"/>
        <v>184041235239.00604</v>
      </c>
      <c r="K113" s="145">
        <f t="shared" si="29"/>
        <v>2936458801.4029236</v>
      </c>
      <c r="L113" s="145">
        <f>IF(Dimensions!$D$63="y",Dimensions!$D$64,LOOKUP(110-B114,'Tower Mass'!$A$8:$A$124,'Tower Mass'!$AK$8:$AK$124))</f>
        <v>0</v>
      </c>
      <c r="M113" s="145">
        <f>IF(Dimensions!$D$57="y",Dimensions!$D$61,LOOKUP(110-B114,'Tower Mass'!$A$8:$A$124,'Tower Mass'!$AO$8:$AO$124))</f>
        <v>0</v>
      </c>
      <c r="N113" s="145">
        <f t="shared" si="30"/>
        <v>184041235239.00604</v>
      </c>
      <c r="O113" s="142">
        <f>IF(Dimensions!$D$66="y",((H113-C113)*(Dimensions!$D$67/100))+(H113*Dimensions!$D$68/100),0)</f>
        <v>2800989.9480028013</v>
      </c>
      <c r="P113" s="142">
        <f t="shared" si="42"/>
        <v>272967105.09447736</v>
      </c>
      <c r="Q113" s="143">
        <f t="shared" si="43"/>
        <v>36.534280431054924</v>
      </c>
      <c r="R113" s="144">
        <f t="shared" si="44"/>
        <v>16.274833454927847</v>
      </c>
      <c r="S113" s="138">
        <f t="shared" si="31"/>
      </c>
      <c r="U113" s="138">
        <f t="shared" si="41"/>
        <v>5826800923.82663</v>
      </c>
      <c r="V113" s="140">
        <f t="shared" si="45"/>
        <v>0.002715491885491451</v>
      </c>
      <c r="W113" s="140">
        <f t="shared" si="39"/>
        <v>0.4246991848000793</v>
      </c>
      <c r="Y113" s="140">
        <f>(Q113*Q113-F113*F113)/(2*Dimensions!$D$6-20000000000/C113)</f>
        <v>0.7940465028857153</v>
      </c>
      <c r="Z113" s="140">
        <f t="shared" si="46"/>
        <v>0.021562268352890237</v>
      </c>
      <c r="AA113" s="140">
        <f t="shared" si="40"/>
        <v>2.0244312772381905</v>
      </c>
    </row>
    <row r="114" spans="1:27" ht="10.5">
      <c r="A114" s="138">
        <f t="shared" si="32"/>
        <v>110</v>
      </c>
      <c r="B114" s="138">
        <f t="shared" si="47"/>
        <v>-13</v>
      </c>
      <c r="C114" s="142">
        <f t="shared" si="48"/>
        <v>272967105.09447736</v>
      </c>
      <c r="D114" s="143">
        <f t="shared" si="49"/>
        <v>36.534280431054924</v>
      </c>
      <c r="E114" s="144">
        <f>(F114-D114)/Dimensions!$D$6</f>
        <v>0.09993439110243403</v>
      </c>
      <c r="F114" s="143">
        <f>SQRT(2*Dimensions!$D$6*Dimensions!$D$20+(D114*D114))</f>
        <v>37.51430202755961</v>
      </c>
      <c r="G114" s="145">
        <f t="shared" si="50"/>
        <v>192076423051.73834</v>
      </c>
      <c r="H114" s="142">
        <f>IF(Dimensions!$D$52="y",C114+Dimensions!$D$53,C114+LOOKUP(110-B115,'Tower Mass'!$A$8:$A$124,'Tower Mass'!$AC$8:$AC$124))</f>
        <v>277298004.85227734</v>
      </c>
      <c r="I114" s="143">
        <f t="shared" si="51"/>
        <v>36.92839560658934</v>
      </c>
      <c r="J114" s="145">
        <f t="shared" si="52"/>
        <v>189076532250.08252</v>
      </c>
      <c r="K114" s="145">
        <f t="shared" si="29"/>
        <v>2999890801.6558228</v>
      </c>
      <c r="L114" s="145">
        <f>IF(Dimensions!$D$63="y",Dimensions!$D$64,LOOKUP(110-B115,'Tower Mass'!$A$8:$A$124,'Tower Mass'!$AK$8:$AK$124))</f>
        <v>0</v>
      </c>
      <c r="M114" s="145">
        <f>IF(Dimensions!$D$57="y",Dimensions!$D$61,LOOKUP(110-B115,'Tower Mass'!$A$8:$A$124,'Tower Mass'!$AO$8:$AO$124))</f>
        <v>0</v>
      </c>
      <c r="N114" s="145">
        <f t="shared" si="30"/>
        <v>189076532250.08252</v>
      </c>
      <c r="O114" s="142">
        <f>IF(Dimensions!$D$66="y",((H114-C114)*(Dimensions!$D$67/100))+(H114*Dimensions!$D$68/100),0)</f>
        <v>2816289.046100773</v>
      </c>
      <c r="P114" s="142">
        <f t="shared" si="42"/>
        <v>274481715.80617654</v>
      </c>
      <c r="Q114" s="143">
        <f t="shared" si="43"/>
        <v>36.92839560658934</v>
      </c>
      <c r="R114" s="144">
        <f t="shared" si="44"/>
        <v>16.37476784603028</v>
      </c>
      <c r="S114" s="138">
        <f t="shared" si="31"/>
      </c>
      <c r="U114" s="138">
        <f t="shared" si="41"/>
        <v>5952928664.888123</v>
      </c>
      <c r="V114" s="140">
        <f t="shared" si="45"/>
        <v>0.002686630204924955</v>
      </c>
      <c r="W114" s="140">
        <f t="shared" si="39"/>
        <v>0.4273858150050042</v>
      </c>
      <c r="Y114" s="140">
        <f>(Q114*Q114-F114*F114)/(2*Dimensions!$D$6-20000000000/C114)</f>
        <v>0.812896568633721</v>
      </c>
      <c r="Z114" s="140">
        <f t="shared" si="46"/>
        <v>0.02183952474771206</v>
      </c>
      <c r="AA114" s="140">
        <f t="shared" si="40"/>
        <v>2.0462708019859024</v>
      </c>
    </row>
    <row r="115" spans="1:27" ht="10.5">
      <c r="A115" s="138">
        <f t="shared" si="32"/>
        <v>111</v>
      </c>
      <c r="B115" s="138">
        <f t="shared" si="47"/>
        <v>-14</v>
      </c>
      <c r="C115" s="142">
        <f t="shared" si="48"/>
        <v>274481715.80617654</v>
      </c>
      <c r="D115" s="143">
        <f t="shared" si="49"/>
        <v>36.92839560658934</v>
      </c>
      <c r="E115" s="144">
        <f>(F115-D115)/Dimensions!$D$6</f>
        <v>0.0988952827105689</v>
      </c>
      <c r="F115" s="143">
        <f>SQRT(2*Dimensions!$D$6*Dimensions!$D$20+(D115*D115))</f>
        <v>37.89822703078294</v>
      </c>
      <c r="G115" s="145">
        <f t="shared" si="50"/>
        <v>197115697186.6987</v>
      </c>
      <c r="H115" s="142">
        <f>IF(Dimensions!$D$52="y",C115+Dimensions!$D$53,C115+LOOKUP(110-B116,'Tower Mass'!$A$8:$A$124,'Tower Mass'!$AC$8:$AC$124))</f>
        <v>278812615.5639765</v>
      </c>
      <c r="I115" s="143">
        <f t="shared" si="51"/>
        <v>37.309539815404754</v>
      </c>
      <c r="J115" s="145">
        <f t="shared" si="52"/>
        <v>194053825960.11298</v>
      </c>
      <c r="K115" s="145">
        <f t="shared" si="29"/>
        <v>3061871226.585724</v>
      </c>
      <c r="L115" s="145">
        <f>IF(Dimensions!$D$63="y",Dimensions!$D$64,LOOKUP(110-B116,'Tower Mass'!$A$8:$A$124,'Tower Mass'!$AK$8:$AK$124))</f>
        <v>0</v>
      </c>
      <c r="M115" s="145">
        <f>IF(Dimensions!$D$57="y",Dimensions!$D$61,LOOKUP(110-B116,'Tower Mass'!$A$8:$A$124,'Tower Mass'!$AO$8:$AO$124))</f>
        <v>0</v>
      </c>
      <c r="N115" s="145">
        <f t="shared" si="30"/>
        <v>194053825960.11298</v>
      </c>
      <c r="O115" s="142">
        <f>IF(Dimensions!$D$66="y",((H115-C115)*(Dimensions!$D$67/100))+(H115*Dimensions!$D$68/100),0)</f>
        <v>2831435.153217765</v>
      </c>
      <c r="P115" s="142">
        <f t="shared" si="42"/>
        <v>275981180.41075873</v>
      </c>
      <c r="Q115" s="143">
        <f t="shared" si="43"/>
        <v>37.309539815404754</v>
      </c>
      <c r="R115" s="144">
        <f t="shared" si="44"/>
        <v>16.47366312874085</v>
      </c>
      <c r="S115" s="138">
        <f t="shared" si="31"/>
      </c>
      <c r="U115" s="138">
        <f t="shared" si="41"/>
        <v>6076181271.885529</v>
      </c>
      <c r="V115" s="140">
        <f t="shared" si="45"/>
        <v>0.002659299808875233</v>
      </c>
      <c r="W115" s="140">
        <f t="shared" si="39"/>
        <v>0.43004511481387947</v>
      </c>
      <c r="Y115" s="140">
        <f>(Q115*Q115-F115*F115)/(2*Dimensions!$D$6-20000000000/C115)</f>
        <v>0.8314135455952416</v>
      </c>
      <c r="Z115" s="140">
        <f t="shared" si="46"/>
        <v>0.022109778828977057</v>
      </c>
      <c r="AA115" s="140">
        <f t="shared" si="40"/>
        <v>2.0683805808148796</v>
      </c>
    </row>
    <row r="116" spans="1:27" ht="10.5">
      <c r="A116" s="138">
        <f t="shared" si="32"/>
        <v>112</v>
      </c>
      <c r="B116" s="138">
        <f t="shared" si="47"/>
        <v>-15</v>
      </c>
      <c r="C116" s="142">
        <f t="shared" si="48"/>
        <v>275981180.41075873</v>
      </c>
      <c r="D116" s="143">
        <f t="shared" si="49"/>
        <v>37.309539815404754</v>
      </c>
      <c r="E116" s="144">
        <f>(F116-D116)/Dimensions!$D$6</f>
        <v>0.09791046716604955</v>
      </c>
      <c r="F116" s="143">
        <f>SQRT(2*Dimensions!$D$6*Dimensions!$D$20+(D116*D116))</f>
        <v>38.269713498238694</v>
      </c>
      <c r="G116" s="145">
        <f t="shared" si="50"/>
        <v>202097012718.697</v>
      </c>
      <c r="H116" s="142">
        <f>IF(Dimensions!$D$52="y",C116+Dimensions!$D$53,C116+LOOKUP(110-B117,'Tower Mass'!$A$8:$A$124,'Tower Mass'!$AC$8:$AC$124))</f>
        <v>280312080.1685587</v>
      </c>
      <c r="I116" s="143">
        <f t="shared" si="51"/>
        <v>37.67843575943795</v>
      </c>
      <c r="J116" s="145">
        <f t="shared" si="52"/>
        <v>198974557550.4816</v>
      </c>
      <c r="K116" s="145">
        <f t="shared" si="29"/>
        <v>3122455168.215393</v>
      </c>
      <c r="L116" s="145">
        <f>IF(Dimensions!$D$63="y",Dimensions!$D$64,LOOKUP(110-B117,'Tower Mass'!$A$8:$A$124,'Tower Mass'!$AK$8:$AK$124))</f>
        <v>0</v>
      </c>
      <c r="M116" s="145">
        <f>IF(Dimensions!$D$57="y",Dimensions!$D$61,LOOKUP(110-B117,'Tower Mass'!$A$8:$A$124,'Tower Mass'!$AO$8:$AO$124))</f>
        <v>0</v>
      </c>
      <c r="N116" s="145">
        <f t="shared" si="30"/>
        <v>198974557550.4816</v>
      </c>
      <c r="O116" s="142">
        <f>IF(Dimensions!$D$66="y",((H116-C116)*(Dimensions!$D$67/100))+(H116*Dimensions!$D$68/100),0)</f>
        <v>2846429.7992635868</v>
      </c>
      <c r="P116" s="142">
        <f t="shared" si="42"/>
        <v>277465650.3692951</v>
      </c>
      <c r="Q116" s="143">
        <f t="shared" si="43"/>
        <v>37.67843575943795</v>
      </c>
      <c r="R116" s="144">
        <f t="shared" si="44"/>
        <v>16.571573595906898</v>
      </c>
      <c r="S116" s="138">
        <f t="shared" si="31"/>
      </c>
      <c r="U116" s="138">
        <f t="shared" si="41"/>
        <v>6196667533.89563</v>
      </c>
      <c r="V116" s="140">
        <f t="shared" si="45"/>
        <v>0.002633375558915078</v>
      </c>
      <c r="W116" s="140">
        <f t="shared" si="39"/>
        <v>0.43267849037279454</v>
      </c>
      <c r="Y116" s="140">
        <f>(Q116*Q116-F116*F116)/(2*Dimensions!$D$6-20000000000/C116)</f>
        <v>0.8496093466158776</v>
      </c>
      <c r="Z116" s="140">
        <f t="shared" si="46"/>
        <v>0.02237340488004061</v>
      </c>
      <c r="AA116" s="140">
        <f t="shared" si="40"/>
        <v>2.09075398569492</v>
      </c>
    </row>
    <row r="117" spans="1:27" ht="10.5">
      <c r="A117" s="138">
        <f t="shared" si="32"/>
        <v>113</v>
      </c>
      <c r="B117" s="138">
        <f t="shared" si="47"/>
        <v>-16</v>
      </c>
      <c r="C117" s="142">
        <f t="shared" si="48"/>
        <v>277465650.3692951</v>
      </c>
      <c r="D117" s="143">
        <f t="shared" si="49"/>
        <v>37.67843575943795</v>
      </c>
      <c r="E117" s="144">
        <f>(F117-D117)/Dimensions!$D$6</f>
        <v>0.0969755717236922</v>
      </c>
      <c r="F117" s="143">
        <f>SQRT(2*Dimensions!$D$6*Dimensions!$D$20+(D117*D117))</f>
        <v>38.6294412498821</v>
      </c>
      <c r="G117" s="145">
        <f t="shared" si="50"/>
        <v>207021801376.038</v>
      </c>
      <c r="H117" s="142">
        <f>IF(Dimensions!$D$52="y",C117+Dimensions!$D$53,C117+LOOKUP(110-B118,'Tower Mass'!$A$8:$A$124,'Tower Mass'!$AC$8:$AC$124))</f>
        <v>281796550.1270951</v>
      </c>
      <c r="I117" s="143">
        <f t="shared" si="51"/>
        <v>38.03574967460339</v>
      </c>
      <c r="J117" s="145">
        <f t="shared" si="52"/>
        <v>203840106394.19946</v>
      </c>
      <c r="K117" s="145">
        <f t="shared" si="29"/>
        <v>3181694981.8385315</v>
      </c>
      <c r="L117" s="145">
        <f>IF(Dimensions!$D$63="y",Dimensions!$D$64,LOOKUP(110-B118,'Tower Mass'!$A$8:$A$124,'Tower Mass'!$AK$8:$AK$124))</f>
        <v>0</v>
      </c>
      <c r="M117" s="145">
        <f>IF(Dimensions!$D$57="y",Dimensions!$D$61,LOOKUP(110-B118,'Tower Mass'!$A$8:$A$124,'Tower Mass'!$AO$8:$AO$124))</f>
        <v>0</v>
      </c>
      <c r="N117" s="145">
        <f t="shared" si="30"/>
        <v>203840106394.19946</v>
      </c>
      <c r="O117" s="142">
        <f>IF(Dimensions!$D$66="y",((H117-C117)*(Dimensions!$D$67/100))+(H117*Dimensions!$D$68/100),0)</f>
        <v>2861274.498848951</v>
      </c>
      <c r="P117" s="142">
        <f t="shared" si="42"/>
        <v>278935275.6282461</v>
      </c>
      <c r="Q117" s="143">
        <f t="shared" si="43"/>
        <v>38.03574967460339</v>
      </c>
      <c r="R117" s="144">
        <f t="shared" si="44"/>
        <v>16.66854916763059</v>
      </c>
      <c r="S117" s="138">
        <f t="shared" si="31"/>
      </c>
      <c r="U117" s="138">
        <f t="shared" si="41"/>
        <v>6314490848.269104</v>
      </c>
      <c r="V117" s="140">
        <f t="shared" si="45"/>
        <v>0.002608745867430216</v>
      </c>
      <c r="W117" s="140">
        <f t="shared" si="39"/>
        <v>0.43528723624022475</v>
      </c>
      <c r="Y117" s="140">
        <f>(Q117*Q117-F117*F117)/(2*Dimensions!$D$6-20000000000/C117)</f>
        <v>0.8674952932404589</v>
      </c>
      <c r="Z117" s="140">
        <f t="shared" si="46"/>
        <v>0.022630747612562105</v>
      </c>
      <c r="AA117" s="140">
        <f t="shared" si="40"/>
        <v>2.113384733307482</v>
      </c>
    </row>
    <row r="118" spans="1:27" ht="10.5">
      <c r="A118" s="138">
        <f t="shared" si="32"/>
        <v>114</v>
      </c>
      <c r="B118" s="138">
        <f t="shared" si="47"/>
        <v>-17</v>
      </c>
      <c r="C118" s="142">
        <f t="shared" si="48"/>
        <v>278935275.6282461</v>
      </c>
      <c r="D118" s="143">
        <f t="shared" si="49"/>
        <v>38.03574967460339</v>
      </c>
      <c r="E118" s="144">
        <f>(F118-D118)/Dimensions!$D$6</f>
        <v>0.09608669048115952</v>
      </c>
      <c r="F118" s="143">
        <f>SQRT(2*Dimensions!$D$6*Dimensions!$D$20+(D118*D118))</f>
        <v>38.97803821781045</v>
      </c>
      <c r="G118" s="145">
        <f t="shared" si="50"/>
        <v>211891433668.33023</v>
      </c>
      <c r="H118" s="142">
        <f>IF(Dimensions!$D$52="y",C118+Dimensions!$D$53,C118+LOOKUP(110-B119,'Tower Mass'!$A$8:$A$124,'Tower Mass'!$AC$8:$AC$124))</f>
        <v>283266175.3860461</v>
      </c>
      <c r="I118" s="143">
        <f t="shared" si="51"/>
        <v>38.382097046765324</v>
      </c>
      <c r="J118" s="145">
        <f t="shared" si="52"/>
        <v>208651793222.36658</v>
      </c>
      <c r="K118" s="145">
        <f t="shared" si="29"/>
        <v>3239640445.9636536</v>
      </c>
      <c r="L118" s="145">
        <f>IF(Dimensions!$D$63="y",Dimensions!$D$64,LOOKUP(110-B119,'Tower Mass'!$A$8:$A$124,'Tower Mass'!$AK$8:$AK$124))</f>
        <v>0</v>
      </c>
      <c r="M118" s="145">
        <f>IF(Dimensions!$D$57="y",Dimensions!$D$61,LOOKUP(110-B119,'Tower Mass'!$A$8:$A$124,'Tower Mass'!$AO$8:$AO$124))</f>
        <v>0</v>
      </c>
      <c r="N118" s="145">
        <f t="shared" si="30"/>
        <v>208651793222.36658</v>
      </c>
      <c r="O118" s="142">
        <f>IF(Dimensions!$D$66="y",((H118-C118)*(Dimensions!$D$67/100))+(H118*Dimensions!$D$68/100),0)</f>
        <v>2875970.751438461</v>
      </c>
      <c r="P118" s="142">
        <f t="shared" si="42"/>
        <v>280390204.6346077</v>
      </c>
      <c r="Q118" s="143">
        <f t="shared" si="43"/>
        <v>38.382097046765324</v>
      </c>
      <c r="R118" s="144">
        <f t="shared" si="44"/>
        <v>16.76463585811175</v>
      </c>
      <c r="S118" s="138">
        <f t="shared" si="31"/>
      </c>
      <c r="U118" s="138">
        <f t="shared" si="41"/>
        <v>6429749535.055389</v>
      </c>
      <c r="V118" s="140">
        <f t="shared" si="45"/>
        <v>0.002585310888043168</v>
      </c>
      <c r="W118" s="140">
        <f t="shared" si="39"/>
        <v>0.4378725471282679</v>
      </c>
      <c r="Y118" s="140">
        <f>(Q118*Q118-F118*F118)/(2*Dimensions!$D$6-20000000000/C118)</f>
        <v>0.8850821498918141</v>
      </c>
      <c r="Z118" s="140">
        <f t="shared" si="46"/>
        <v>0.022882125189279623</v>
      </c>
      <c r="AA118" s="140">
        <f t="shared" si="40"/>
        <v>2.1362668584967617</v>
      </c>
    </row>
    <row r="119" spans="1:27" ht="10.5">
      <c r="A119" s="138">
        <f t="shared" si="32"/>
        <v>115</v>
      </c>
      <c r="B119" s="138">
        <f t="shared" si="47"/>
        <v>-18</v>
      </c>
      <c r="C119" s="142">
        <f t="shared" si="48"/>
        <v>280390204.6346077</v>
      </c>
      <c r="D119" s="143">
        <f t="shared" si="49"/>
        <v>38.382097046765324</v>
      </c>
      <c r="E119" s="144">
        <f>(F119-D119)/Dimensions!$D$6</f>
        <v>0.09524032289811879</v>
      </c>
      <c r="F119" s="143">
        <f>SQRT(2*Dimensions!$D$6*Dimensions!$D$20+(D119*D119))</f>
        <v>39.31608555931416</v>
      </c>
      <c r="G119" s="145">
        <f t="shared" si="50"/>
        <v>216707222020.28793</v>
      </c>
      <c r="H119" s="142">
        <f>IF(Dimensions!$D$52="y",C119+Dimensions!$D$53,C119+LOOKUP(110-B120,'Tower Mass'!$A$8:$A$124,'Tower Mass'!$AC$8:$AC$124))</f>
        <v>284721104.39240766</v>
      </c>
      <c r="I119" s="143">
        <f t="shared" si="51"/>
        <v>38.71804760989752</v>
      </c>
      <c r="J119" s="145">
        <f t="shared" si="52"/>
        <v>213410883108.6923</v>
      </c>
      <c r="K119" s="145">
        <f t="shared" si="29"/>
        <v>3296338911.595642</v>
      </c>
      <c r="L119" s="145">
        <f>IF(Dimensions!$D$63="y",Dimensions!$D$64,LOOKUP(110-B120,'Tower Mass'!$A$8:$A$124,'Tower Mass'!$AK$8:$AK$124))</f>
        <v>0</v>
      </c>
      <c r="M119" s="145">
        <f>IF(Dimensions!$D$57="y",Dimensions!$D$61,LOOKUP(110-B120,'Tower Mass'!$A$8:$A$124,'Tower Mass'!$AO$8:$AO$124))</f>
        <v>0</v>
      </c>
      <c r="N119" s="145">
        <f t="shared" si="30"/>
        <v>213410883108.6923</v>
      </c>
      <c r="O119" s="142">
        <f>IF(Dimensions!$D$66="y",((H119-C119)*(Dimensions!$D$67/100))+(H119*Dimensions!$D$68/100),0)</f>
        <v>2890520.041502076</v>
      </c>
      <c r="P119" s="142">
        <f t="shared" si="42"/>
        <v>281830584.3509056</v>
      </c>
      <c r="Q119" s="143">
        <f t="shared" si="43"/>
        <v>38.71804760989752</v>
      </c>
      <c r="R119" s="144">
        <f t="shared" si="44"/>
        <v>16.859876181009867</v>
      </c>
      <c r="S119" s="138">
        <f t="shared" si="31"/>
      </c>
      <c r="U119" s="138">
        <f t="shared" si="41"/>
        <v>6542537130.51474</v>
      </c>
      <c r="V119" s="140">
        <f t="shared" si="45"/>
        <v>0.0025629809914888614</v>
      </c>
      <c r="W119" s="140">
        <f t="shared" si="39"/>
        <v>0.4404355281197568</v>
      </c>
      <c r="Y119" s="140">
        <f>(Q119*Q119-F119*F119)/(2*Dimensions!$D$6-20000000000/C119)</f>
        <v>0.9023801558050859</v>
      </c>
      <c r="Z119" s="140">
        <f t="shared" si="46"/>
        <v>0.02312783186425192</v>
      </c>
      <c r="AA119" s="140">
        <f t="shared" si="40"/>
        <v>2.1593946903610135</v>
      </c>
    </row>
    <row r="120" spans="1:27" ht="10.5">
      <c r="A120" s="138">
        <f t="shared" si="32"/>
        <v>116</v>
      </c>
      <c r="B120" s="138">
        <f t="shared" si="47"/>
        <v>-19</v>
      </c>
      <c r="C120" s="142">
        <f t="shared" si="48"/>
        <v>281830584.3509056</v>
      </c>
      <c r="D120" s="143">
        <f t="shared" si="49"/>
        <v>38.71804760989752</v>
      </c>
      <c r="E120" s="144">
        <f>(F120-D120)/Dimensions!$D$6</f>
        <v>0.09443332188295708</v>
      </c>
      <c r="F120" s="143">
        <f>SQRT(2*Dimensions!$D$6*Dimensions!$D$20+(D120*D120))</f>
        <v>39.64412214594102</v>
      </c>
      <c r="G120" s="145">
        <f t="shared" si="50"/>
        <v>221470423725.50803</v>
      </c>
      <c r="H120" s="142">
        <f>IF(Dimensions!$D$52="y",C120+Dimensions!$D$53,C120+LOOKUP(110-B121,'Tower Mass'!$A$8:$A$124,'Tower Mass'!$AC$8:$AC$124))</f>
        <v>286161484.1087056</v>
      </c>
      <c r="I120" s="143">
        <f t="shared" si="51"/>
        <v>39.04412973419204</v>
      </c>
      <c r="J120" s="145">
        <f t="shared" si="52"/>
        <v>218118588283.85123</v>
      </c>
      <c r="K120" s="145">
        <f t="shared" si="29"/>
        <v>3351835441.6567993</v>
      </c>
      <c r="L120" s="145">
        <f>IF(Dimensions!$D$63="y",Dimensions!$D$64,LOOKUP(110-B121,'Tower Mass'!$A$8:$A$124,'Tower Mass'!$AK$8:$AK$124))</f>
        <v>0</v>
      </c>
      <c r="M120" s="145">
        <f>IF(Dimensions!$D$57="y",Dimensions!$D$61,LOOKUP(110-B121,'Tower Mass'!$A$8:$A$124,'Tower Mass'!$AO$8:$AO$124))</f>
        <v>0</v>
      </c>
      <c r="N120" s="145">
        <f t="shared" si="30"/>
        <v>218118588283.85123</v>
      </c>
      <c r="O120" s="142">
        <f>IF(Dimensions!$D$66="y",((H120-C120)*(Dimensions!$D$67/100))+(H120*Dimensions!$D$68/100),0)</f>
        <v>2904923.8386650556</v>
      </c>
      <c r="P120" s="142">
        <f t="shared" si="42"/>
        <v>283256560.2700405</v>
      </c>
      <c r="Q120" s="143">
        <f t="shared" si="43"/>
        <v>39.04412973419204</v>
      </c>
      <c r="R120" s="144">
        <f t="shared" si="44"/>
        <v>16.954309502892823</v>
      </c>
      <c r="S120" s="138">
        <f t="shared" si="31"/>
      </c>
      <c r="U120" s="138">
        <f t="shared" si="41"/>
        <v>6652942661.28302</v>
      </c>
      <c r="V120" s="140">
        <f t="shared" si="45"/>
        <v>0.002541675475325883</v>
      </c>
      <c r="W120" s="140">
        <f t="shared" si="39"/>
        <v>0.44297720359508264</v>
      </c>
      <c r="Y120" s="140">
        <f>(Q120*Q120-F120*F120)/(2*Dimensions!$D$6-20000000000/C120)</f>
        <v>0.919399054884153</v>
      </c>
      <c r="Z120" s="140">
        <f t="shared" si="46"/>
        <v>0.023368140298368468</v>
      </c>
      <c r="AA120" s="140">
        <f t="shared" si="40"/>
        <v>2.182762830659382</v>
      </c>
    </row>
    <row r="121" spans="1:27" ht="10.5">
      <c r="A121" s="138">
        <f t="shared" si="32"/>
        <v>117</v>
      </c>
      <c r="B121" s="138">
        <f t="shared" si="47"/>
        <v>-20</v>
      </c>
      <c r="C121" s="142">
        <f t="shared" si="48"/>
        <v>283256560.2700405</v>
      </c>
      <c r="D121" s="143">
        <f t="shared" si="49"/>
        <v>39.04412973419204</v>
      </c>
      <c r="E121" s="144">
        <f>(F121-D121)/Dimensions!$D$6</f>
        <v>0.09366284973967504</v>
      </c>
      <c r="F121" s="143">
        <f>SQRT(2*Dimensions!$D$6*Dimensions!$D$20+(D121*D121))</f>
        <v>39.962648519591625</v>
      </c>
      <c r="G121" s="145">
        <f t="shared" si="50"/>
        <v>226182243731.8735</v>
      </c>
      <c r="H121" s="142">
        <f>IF(Dimensions!$D$52="y",C121+Dimensions!$D$53,C121+LOOKUP(110-B122,'Tower Mass'!$A$8:$A$124,'Tower Mass'!$AC$8:$AC$124))</f>
        <v>289765216.9905559</v>
      </c>
      <c r="I121" s="143">
        <f t="shared" si="51"/>
        <v>39.06501434680162</v>
      </c>
      <c r="J121" s="145">
        <f t="shared" si="52"/>
        <v>221101776876.61707</v>
      </c>
      <c r="K121" s="145">
        <f t="shared" si="29"/>
        <v>5080466855.256439</v>
      </c>
      <c r="L121" s="145">
        <f>IF(Dimensions!$D$63="y",Dimensions!$D$64,LOOKUP(110-B122,'Tower Mass'!$A$8:$A$124,'Tower Mass'!$AK$8:$AK$124))</f>
        <v>0</v>
      </c>
      <c r="M121" s="145">
        <f>IF(Dimensions!$D$57="y",Dimensions!$D$61,LOOKUP(110-B122,'Tower Mass'!$A$8:$A$124,'Tower Mass'!$AO$8:$AO$124))</f>
        <v>5436834545.663999</v>
      </c>
      <c r="N121" s="145">
        <f t="shared" si="30"/>
        <v>215664942330.95306</v>
      </c>
      <c r="O121" s="142">
        <f>IF(Dimensions!$D$66="y",((H121-C121)*(Dimensions!$D$67/100))+(H121*Dimensions!$D$68/100),0)</f>
        <v>2962738.7371107126</v>
      </c>
      <c r="P121" s="142">
        <f t="shared" si="42"/>
        <v>286802478.25344515</v>
      </c>
      <c r="Q121" s="143">
        <f t="shared" si="43"/>
        <v>38.58172565481635</v>
      </c>
      <c r="R121" s="144">
        <f t="shared" si="44"/>
        <v>17.0479723526325</v>
      </c>
      <c r="S121" s="138">
        <f t="shared" si="31"/>
      </c>
      <c r="U121" s="138">
        <f t="shared" si="41"/>
        <v>10046817133.360321</v>
      </c>
      <c r="V121" s="140">
        <f t="shared" si="45"/>
        <v>0.0025463313203807508</v>
      </c>
      <c r="W121" s="140">
        <f t="shared" si="39"/>
        <v>0.44552353491546337</v>
      </c>
      <c r="Y121" s="140">
        <f>(Q121*Q121-F121*F121)/(2*Dimensions!$D$6-20000000000/C121)</f>
        <v>2.126987076597318</v>
      </c>
      <c r="Z121" s="140">
        <f t="shared" si="46"/>
        <v>0.05382892520036363</v>
      </c>
      <c r="AA121" s="140">
        <f t="shared" si="40"/>
        <v>2.2365917558597457</v>
      </c>
    </row>
  </sheetData>
  <mergeCells count="2">
    <mergeCell ref="U2:W2"/>
    <mergeCell ref="Y2:AA2"/>
  </mergeCells>
  <conditionalFormatting sqref="N5:N121">
    <cfRule type="cellIs" priority="1" dxfId="0" operator="equal" stopIfTrue="1">
      <formula>0</formula>
    </cfRule>
    <cfRule type="cellIs" priority="2" dxfId="1" operator="notEqual" stopIfTrue="1">
      <formula>0</formula>
    </cfRule>
  </conditionalFormatting>
  <conditionalFormatting sqref="B5:B121">
    <cfRule type="cellIs" priority="3" dxfId="2" operator="equal" stopIfTrue="1">
      <formula>0</formula>
    </cfRule>
  </conditionalFormatting>
  <printOptions horizontalCentered="1" verticalCentered="1"/>
  <pageMargins left="0.3937007874015748" right="0.3937007874015748" top="0.7874015748031497" bottom="0.7874015748031497" header="0" footer="0"/>
  <pageSetup blackAndWhite="1" horizontalDpi="300" verticalDpi="300" orientation="portrait" paperSize="9" scale="58" r:id="rId3"/>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AP210"/>
  <sheetViews>
    <sheetView workbookViewId="0" topLeftCell="A1">
      <selection activeCell="A1" sqref="A1"/>
    </sheetView>
  </sheetViews>
  <sheetFormatPr defaultColWidth="9.140625" defaultRowHeight="12.75"/>
  <cols>
    <col min="1" max="1" width="4.00390625" style="5" bestFit="1" customWidth="1"/>
    <col min="2" max="3" width="5.7109375" style="5" customWidth="1"/>
    <col min="4" max="4" width="1.7109375" style="5" customWidth="1"/>
    <col min="5" max="6" width="7.140625" style="5" bestFit="1" customWidth="1"/>
    <col min="7" max="7" width="1.7109375" style="5" customWidth="1"/>
    <col min="8" max="8" width="7.00390625" style="9" bestFit="1" customWidth="1"/>
    <col min="9" max="9" width="9.00390625" style="98" bestFit="1" customWidth="1"/>
    <col min="10" max="11" width="9.28125" style="5" bestFit="1" customWidth="1"/>
    <col min="12" max="12" width="1.7109375" style="5" customWidth="1"/>
    <col min="13" max="14" width="9.00390625" style="5" bestFit="1" customWidth="1"/>
    <col min="15" max="15" width="2.140625" style="5" customWidth="1"/>
    <col min="16" max="18" width="9.00390625" style="5" bestFit="1" customWidth="1"/>
    <col min="19" max="19" width="1.7109375" style="5" customWidth="1"/>
    <col min="20" max="20" width="4.00390625" style="5" bestFit="1" customWidth="1"/>
    <col min="21" max="21" width="9.00390625" style="5" bestFit="1" customWidth="1"/>
    <col min="22" max="22" width="9.00390625" style="5" customWidth="1"/>
    <col min="23" max="23" width="1.7109375" style="5" customWidth="1"/>
    <col min="24" max="24" width="11.421875" style="5" bestFit="1" customWidth="1"/>
    <col min="25" max="25" width="1.7109375" style="5" customWidth="1"/>
    <col min="26" max="26" width="9.140625" style="9" bestFit="1" customWidth="1"/>
    <col min="27" max="27" width="9.28125" style="5" bestFit="1" customWidth="1"/>
    <col min="28" max="28" width="1.7109375" style="5" customWidth="1"/>
    <col min="29" max="29" width="9.28125" style="5" bestFit="1" customWidth="1"/>
    <col min="30" max="30" width="15.00390625" style="5" bestFit="1" customWidth="1"/>
    <col min="31" max="31" width="2.57421875" style="5" customWidth="1"/>
    <col min="32" max="32" width="6.140625" style="5" bestFit="1" customWidth="1"/>
    <col min="33" max="33" width="1.7109375" style="5" customWidth="1"/>
    <col min="34" max="34" width="10.140625" style="16" bestFit="1" customWidth="1"/>
    <col min="35" max="35" width="9.28125" style="16" bestFit="1" customWidth="1"/>
    <col min="36" max="36" width="9.28125" style="17" bestFit="1" customWidth="1"/>
    <col min="37" max="37" width="9.28125" style="5" bestFit="1" customWidth="1"/>
    <col min="38" max="38" width="3.00390625" style="5" customWidth="1"/>
    <col min="39" max="39" width="9.140625" style="5" bestFit="1" customWidth="1"/>
    <col min="40" max="41" width="9.28125" style="5" bestFit="1" customWidth="1"/>
    <col min="42" max="42" width="9.8515625" style="5" bestFit="1" customWidth="1"/>
    <col min="43" max="43" width="9.140625" style="5" customWidth="1"/>
    <col min="44" max="44" width="10.00390625" style="5" bestFit="1" customWidth="1"/>
    <col min="45" max="16384" width="9.140625" style="5" customWidth="1"/>
  </cols>
  <sheetData>
    <row r="1" spans="1:36" s="22" customFormat="1" ht="15">
      <c r="A1" s="22" t="s">
        <v>123</v>
      </c>
      <c r="H1" s="134"/>
      <c r="I1" s="96"/>
      <c r="AH1" s="70"/>
      <c r="AI1" s="70"/>
      <c r="AJ1" s="107"/>
    </row>
    <row r="2" spans="8:36" s="24" customFormat="1" ht="10.5" customHeight="1">
      <c r="H2" s="135"/>
      <c r="I2" s="97"/>
      <c r="AH2" s="104"/>
      <c r="AI2" s="104"/>
      <c r="AJ2" s="108"/>
    </row>
    <row r="3" spans="1:42" ht="10.5">
      <c r="A3" s="150" t="s">
        <v>40</v>
      </c>
      <c r="B3" s="150"/>
      <c r="C3" s="150"/>
      <c r="D3" s="26"/>
      <c r="E3" s="150" t="s">
        <v>163</v>
      </c>
      <c r="F3" s="150"/>
      <c r="G3" s="26"/>
      <c r="H3" s="136"/>
      <c r="I3" s="150" t="s">
        <v>67</v>
      </c>
      <c r="J3" s="150"/>
      <c r="K3" s="150"/>
      <c r="M3" s="151" t="s">
        <v>14</v>
      </c>
      <c r="N3" s="151"/>
      <c r="O3" s="112"/>
      <c r="P3" s="151" t="s">
        <v>138</v>
      </c>
      <c r="Q3" s="151"/>
      <c r="R3" s="151"/>
      <c r="S3" s="112"/>
      <c r="T3" s="151" t="s">
        <v>139</v>
      </c>
      <c r="U3" s="151"/>
      <c r="V3" s="151"/>
      <c r="X3" s="19" t="s">
        <v>122</v>
      </c>
      <c r="Z3" s="149" t="s">
        <v>70</v>
      </c>
      <c r="AA3" s="149"/>
      <c r="AC3" s="149" t="s">
        <v>72</v>
      </c>
      <c r="AD3" s="149"/>
      <c r="AE3" s="149"/>
      <c r="AF3" s="149"/>
      <c r="AH3" s="148" t="s">
        <v>74</v>
      </c>
      <c r="AI3" s="148"/>
      <c r="AJ3" s="148"/>
      <c r="AK3" s="148"/>
      <c r="AM3" s="149" t="s">
        <v>48</v>
      </c>
      <c r="AN3" s="149"/>
      <c r="AO3" s="149"/>
      <c r="AP3" s="149"/>
    </row>
    <row r="4" spans="10:32" ht="10.5">
      <c r="J4" s="12"/>
      <c r="M4" s="10"/>
      <c r="Z4" s="5"/>
      <c r="AF4" s="9"/>
    </row>
    <row r="5" spans="1:42" ht="10.5">
      <c r="A5" s="5" t="s">
        <v>80</v>
      </c>
      <c r="B5" s="5" t="s">
        <v>82</v>
      </c>
      <c r="C5" s="5" t="s">
        <v>81</v>
      </c>
      <c r="E5" s="5" t="s">
        <v>164</v>
      </c>
      <c r="F5" s="5" t="s">
        <v>165</v>
      </c>
      <c r="H5" s="9" t="s">
        <v>168</v>
      </c>
      <c r="I5" s="98" t="s">
        <v>166</v>
      </c>
      <c r="J5" s="5" t="s">
        <v>3</v>
      </c>
      <c r="K5" s="5" t="s">
        <v>12</v>
      </c>
      <c r="M5" s="5" t="s">
        <v>68</v>
      </c>
      <c r="N5" s="5" t="s">
        <v>69</v>
      </c>
      <c r="P5" s="5" t="s">
        <v>136</v>
      </c>
      <c r="Q5" s="5" t="s">
        <v>134</v>
      </c>
      <c r="R5" s="5" t="s">
        <v>135</v>
      </c>
      <c r="T5" s="5" t="s">
        <v>136</v>
      </c>
      <c r="U5" s="5" t="s">
        <v>134</v>
      </c>
      <c r="V5" s="5" t="s">
        <v>135</v>
      </c>
      <c r="X5" s="5" t="s">
        <v>3</v>
      </c>
      <c r="Z5" s="5" t="s">
        <v>37</v>
      </c>
      <c r="AA5" s="5" t="s">
        <v>38</v>
      </c>
      <c r="AC5" s="5" t="s">
        <v>40</v>
      </c>
      <c r="AD5" s="5" t="s">
        <v>71</v>
      </c>
      <c r="AF5" s="9" t="s">
        <v>67</v>
      </c>
      <c r="AH5" s="16" t="s">
        <v>132</v>
      </c>
      <c r="AI5" s="16" t="s">
        <v>133</v>
      </c>
      <c r="AJ5" s="35" t="s">
        <v>133</v>
      </c>
      <c r="AK5" s="5" t="s">
        <v>40</v>
      </c>
      <c r="AM5" s="5" t="s">
        <v>54</v>
      </c>
      <c r="AN5" s="5" t="s">
        <v>56</v>
      </c>
      <c r="AO5" s="5" t="s">
        <v>56</v>
      </c>
      <c r="AP5" s="5" t="s">
        <v>12</v>
      </c>
    </row>
    <row r="6" spans="8:42" ht="10.5">
      <c r="H6" s="9" t="s">
        <v>167</v>
      </c>
      <c r="J6" s="5" t="s">
        <v>6</v>
      </c>
      <c r="K6" s="5" t="s">
        <v>6</v>
      </c>
      <c r="M6" s="5" t="s">
        <v>6</v>
      </c>
      <c r="N6" s="5" t="s">
        <v>6</v>
      </c>
      <c r="P6" s="5" t="s">
        <v>6</v>
      </c>
      <c r="Q6" s="5" t="s">
        <v>6</v>
      </c>
      <c r="R6" s="5" t="s">
        <v>6</v>
      </c>
      <c r="T6" s="5" t="s">
        <v>6</v>
      </c>
      <c r="U6" s="5" t="s">
        <v>6</v>
      </c>
      <c r="V6" s="5" t="s">
        <v>6</v>
      </c>
      <c r="X6" s="5" t="s">
        <v>6</v>
      </c>
      <c r="Z6" s="9" t="s">
        <v>6</v>
      </c>
      <c r="AA6" s="5" t="s">
        <v>6</v>
      </c>
      <c r="AC6" s="5" t="s">
        <v>6</v>
      </c>
      <c r="AD6" s="5" t="s">
        <v>6</v>
      </c>
      <c r="AF6" s="9" t="s">
        <v>73</v>
      </c>
      <c r="AH6" s="16" t="s">
        <v>0</v>
      </c>
      <c r="AI6" s="16" t="s">
        <v>0</v>
      </c>
      <c r="AJ6" s="35" t="s">
        <v>26</v>
      </c>
      <c r="AK6" s="5" t="s">
        <v>0</v>
      </c>
      <c r="AM6" s="5" t="s">
        <v>55</v>
      </c>
      <c r="AN6" s="5" t="s">
        <v>66</v>
      </c>
      <c r="AO6" s="5" t="s">
        <v>76</v>
      </c>
      <c r="AP6" s="5" t="s">
        <v>0</v>
      </c>
    </row>
    <row r="7" spans="16:32" ht="10.5">
      <c r="P7" s="16"/>
      <c r="Q7" s="16"/>
      <c r="R7" s="16"/>
      <c r="S7" s="16"/>
      <c r="T7" s="16"/>
      <c r="U7" s="16"/>
      <c r="V7" s="16"/>
      <c r="Z7" s="5"/>
      <c r="AF7" s="9"/>
    </row>
    <row r="8" spans="1:42" ht="10.5">
      <c r="A8" s="5">
        <v>1</v>
      </c>
      <c r="B8" s="5">
        <v>116</v>
      </c>
      <c r="C8" s="5">
        <f>B8-6</f>
        <v>110</v>
      </c>
      <c r="E8" s="5">
        <v>12</v>
      </c>
      <c r="F8" s="5">
        <v>12</v>
      </c>
      <c r="H8" s="9">
        <v>42</v>
      </c>
      <c r="I8" s="98">
        <f>(-30*B8+3710)/1955</f>
        <v>0.11764705882352941</v>
      </c>
      <c r="J8" s="12">
        <f>Dimensions!$D$40*I8</f>
        <v>91501.44584148073</v>
      </c>
      <c r="K8" s="12">
        <f>J8</f>
        <v>91501.44584148073</v>
      </c>
      <c r="M8" s="12">
        <f>LOOKUP(C8,'Concrete Mass'!$B$8:$B$123,'Concrete Mass'!$H$8:$H$123)</f>
        <v>435448.656</v>
      </c>
      <c r="N8" s="12">
        <f>LOOKUP(C8,'Concrete Mass'!$B$8:$B$123,'Concrete Mass'!$O$8:$O$123)</f>
        <v>199779.08065312495</v>
      </c>
      <c r="O8" s="12"/>
      <c r="P8" s="117">
        <f>75*Dimensions!$C$105*Dimensions!$D$23</f>
        <v>1058140.3595405968</v>
      </c>
      <c r="Q8" s="117">
        <f>75*Dimensions!$C$105*Dimensions!$D$23</f>
        <v>1058140.3595405968</v>
      </c>
      <c r="R8" s="117">
        <f>50*Dimensions!$C$105*Dimensions!$D$23</f>
        <v>705426.9063603978</v>
      </c>
      <c r="S8" s="12"/>
      <c r="T8" s="12"/>
      <c r="U8" s="117">
        <f>322.3402*Dimensions!$D$22</f>
        <v>351720.28588447295</v>
      </c>
      <c r="V8" s="117">
        <f>366.1821*Dimensions!$D$22</f>
        <v>399558.2086806941</v>
      </c>
      <c r="X8" s="18">
        <f>P8+Q8+U8</f>
        <v>2468001.0049656667</v>
      </c>
      <c r="Z8" s="12">
        <f>R8</f>
        <v>705426.9063603978</v>
      </c>
      <c r="AA8" s="12">
        <f>V8</f>
        <v>399558.2086806941</v>
      </c>
      <c r="AC8" s="12">
        <f>IF(Dimensions!$D$52="y",Dimensions!$D$53,J8+M8+N8+X8+Z8+AA8)</f>
        <v>4299715.302501365</v>
      </c>
      <c r="AD8" s="12">
        <f>AC8</f>
        <v>4299715.302501365</v>
      </c>
      <c r="AE8" s="12"/>
      <c r="AF8" s="9">
        <f aca="true" t="shared" si="0" ref="AF8:AF39">J8/AC8</f>
        <v>0.02128081498518045</v>
      </c>
      <c r="AH8" s="18">
        <f>Dimensions!$D$49</f>
        <v>269000000</v>
      </c>
      <c r="AI8" s="18">
        <f>Dimensions!$D$50*AJ8</f>
        <v>360000000</v>
      </c>
      <c r="AJ8" s="17">
        <v>1</v>
      </c>
      <c r="AK8" s="12">
        <f>IF(Dimensions!$D$63="y",Dimensions!$D$64,AH8+AI8)</f>
        <v>0</v>
      </c>
      <c r="AM8" s="105">
        <f>IF(Dimensions!$D$57="y",Dimensions!$D$58,Dimensions!$D$59-((Dimensions!$D$59-Dimensions!$D$60)/109)*(A8-1))</f>
        <v>227.1</v>
      </c>
      <c r="AN8" s="12">
        <f>LOOKUP(AM8,'Crush Energy'!$A$10:$A$509,'Crush Energy'!$G$10:$G$509)</f>
        <v>1650.0783258699548</v>
      </c>
      <c r="AO8" s="12">
        <f>IF(Dimensions!$D$57="y",Dimensions!$D$61,AN8*M8)</f>
        <v>718524389.2948018</v>
      </c>
      <c r="AP8" s="12">
        <f>AO8</f>
        <v>718524389.2948018</v>
      </c>
    </row>
    <row r="9" spans="1:42" ht="10.5" customHeight="1">
      <c r="A9" s="5">
        <f>A8+1</f>
        <v>2</v>
      </c>
      <c r="B9" s="5">
        <f>B8-1</f>
        <v>115</v>
      </c>
      <c r="C9" s="5">
        <f aca="true" t="shared" si="1" ref="C9:C72">B9-6</f>
        <v>109</v>
      </c>
      <c r="E9" s="5">
        <v>13</v>
      </c>
      <c r="F9" s="5">
        <v>13</v>
      </c>
      <c r="H9" s="9">
        <v>42</v>
      </c>
      <c r="I9" s="98">
        <f aca="true" t="shared" si="2" ref="I9:I72">(-30*B9+3710)/1955</f>
        <v>0.1329923273657289</v>
      </c>
      <c r="J9" s="12">
        <f>Dimensions!$D$40*I9</f>
        <v>103436.41703819562</v>
      </c>
      <c r="K9" s="12">
        <f>K8+J9</f>
        <v>194937.86287967634</v>
      </c>
      <c r="M9" s="12">
        <f>LOOKUP(C9,'Concrete Mass'!$B$8:$B$123,'Concrete Mass'!$H$8:$H$123)</f>
        <v>435448.656</v>
      </c>
      <c r="N9" s="12">
        <f>LOOKUP(C9,'Concrete Mass'!$B$8:$B$123,'Concrete Mass'!$O$8:$O$123)</f>
        <v>199779.08065312495</v>
      </c>
      <c r="O9" s="12"/>
      <c r="P9" s="117">
        <f>75*Dimensions!$C$105*Dimensions!$D$23</f>
        <v>1058140.3595405968</v>
      </c>
      <c r="Q9" s="117">
        <f>75*Dimensions!$C$105*Dimensions!$D$23</f>
        <v>1058140.3595405968</v>
      </c>
      <c r="R9" s="117">
        <f>75*Dimensions!$C$105*Dimensions!$D$23</f>
        <v>1058140.3595405968</v>
      </c>
      <c r="S9" s="12"/>
      <c r="T9" s="12"/>
      <c r="U9" s="117">
        <f>322.3402*Dimensions!$D$22</f>
        <v>351720.28588447295</v>
      </c>
      <c r="V9" s="117">
        <f>366.1821*Dimensions!$D$22</f>
        <v>399558.2086806941</v>
      </c>
      <c r="X9" s="18">
        <f aca="true" t="shared" si="3" ref="X9:X72">P9+Q9+U9</f>
        <v>2468001.0049656667</v>
      </c>
      <c r="Z9" s="12">
        <f aca="true" t="shared" si="4" ref="Z9:Z72">R9</f>
        <v>1058140.3595405968</v>
      </c>
      <c r="AA9" s="12">
        <f aca="true" t="shared" si="5" ref="AA9:AA72">V9</f>
        <v>399558.2086806941</v>
      </c>
      <c r="AC9" s="12">
        <f>IF(Dimensions!$D$52="y",Dimensions!$D$53,J9+M9+N9+X9+Z9+AA9)</f>
        <v>4664363.726878278</v>
      </c>
      <c r="AD9" s="12">
        <f>AD8+AC9</f>
        <v>8964079.029379643</v>
      </c>
      <c r="AE9" s="12"/>
      <c r="AF9" s="9">
        <f t="shared" si="0"/>
        <v>0.022175890023787358</v>
      </c>
      <c r="AH9" s="18">
        <f>Dimensions!$D$49</f>
        <v>269000000</v>
      </c>
      <c r="AI9" s="18">
        <f>Dimensions!$D$50*AJ9</f>
        <v>360000000</v>
      </c>
      <c r="AJ9" s="17">
        <v>1</v>
      </c>
      <c r="AK9" s="12">
        <f>IF(Dimensions!$D$63="y",Dimensions!$D$64,AH9+AI9)</f>
        <v>0</v>
      </c>
      <c r="AM9" s="105">
        <f>IF(Dimensions!$D$57="y",Dimensions!$D$58,Dimensions!$D$59-((Dimensions!$D$59-Dimensions!$D$60)/109)*(A9-1))</f>
        <v>225.5669724770642</v>
      </c>
      <c r="AN9" s="12">
        <f>LOOKUP(AM9,'Crush Energy'!$A$10:$A$509,'Crush Energy'!$G$10:$G$509)</f>
        <v>1664.7456887665764</v>
      </c>
      <c r="AO9" s="12">
        <f>IF(Dimensions!$D$57="y",Dimensions!$D$61,AN9*M9)</f>
        <v>724911272.7552</v>
      </c>
      <c r="AP9" s="12">
        <f>AP8+AO9</f>
        <v>1443435662.0500019</v>
      </c>
    </row>
    <row r="10" spans="1:42" ht="10.5">
      <c r="A10" s="5">
        <f aca="true" t="shared" si="6" ref="A10:A73">A9+1</f>
        <v>3</v>
      </c>
      <c r="B10" s="5">
        <f aca="true" t="shared" si="7" ref="B10:B73">B9-1</f>
        <v>114</v>
      </c>
      <c r="C10" s="5">
        <f t="shared" si="1"/>
        <v>108</v>
      </c>
      <c r="E10" s="5">
        <v>12</v>
      </c>
      <c r="F10" s="5">
        <v>12</v>
      </c>
      <c r="H10" s="9">
        <v>42</v>
      </c>
      <c r="I10" s="98">
        <f t="shared" si="2"/>
        <v>0.1483375959079284</v>
      </c>
      <c r="J10" s="12">
        <f>Dimensions!$D$40*I10</f>
        <v>115371.38823491048</v>
      </c>
      <c r="K10" s="12">
        <f aca="true" t="shared" si="8" ref="K10:K73">K9+J10</f>
        <v>310309.25111458683</v>
      </c>
      <c r="M10" s="12">
        <f>LOOKUP(C10,'Concrete Mass'!$B$8:$B$123,'Concrete Mass'!$H$8:$H$123)</f>
        <v>435448.656</v>
      </c>
      <c r="N10" s="12">
        <f>LOOKUP(C10,'Concrete Mass'!$B$8:$B$123,'Concrete Mass'!$O$8:$O$123)</f>
        <v>199779.08065312495</v>
      </c>
      <c r="O10" s="12"/>
      <c r="P10" s="117">
        <f>75*Dimensions!$C$105*Dimensions!$D$23</f>
        <v>1058140.3595405968</v>
      </c>
      <c r="Q10" s="117">
        <f>75*Dimensions!$C$105*Dimensions!$D$23</f>
        <v>1058140.3595405968</v>
      </c>
      <c r="R10" s="117">
        <f>75*Dimensions!$C$105*Dimensions!$D$23</f>
        <v>1058140.3595405968</v>
      </c>
      <c r="S10" s="12"/>
      <c r="T10" s="12"/>
      <c r="U10" s="117">
        <f>322.3402*Dimensions!$D$22</f>
        <v>351720.28588447295</v>
      </c>
      <c r="V10" s="117">
        <f>366.1821*Dimensions!$D$22</f>
        <v>399558.2086806941</v>
      </c>
      <c r="X10" s="18">
        <f t="shared" si="3"/>
        <v>2468001.0049656667</v>
      </c>
      <c r="Z10" s="12">
        <f t="shared" si="4"/>
        <v>1058140.3595405968</v>
      </c>
      <c r="AA10" s="12">
        <f t="shared" si="5"/>
        <v>399558.2086806941</v>
      </c>
      <c r="AC10" s="12">
        <f>IF(Dimensions!$D$52="y",Dimensions!$D$53,J10+M10+N10+X10+Z10+AA10)</f>
        <v>4676298.698074993</v>
      </c>
      <c r="AD10" s="12">
        <f aca="true" t="shared" si="9" ref="AD10:AD73">AD9+AC10</f>
        <v>13640377.727454636</v>
      </c>
      <c r="AE10" s="12"/>
      <c r="AF10" s="9">
        <f t="shared" si="0"/>
        <v>0.02467151815652908</v>
      </c>
      <c r="AH10" s="18">
        <f>Dimensions!$D$49</f>
        <v>269000000</v>
      </c>
      <c r="AI10" s="18">
        <f>Dimensions!$D$50*AJ10</f>
        <v>360000000</v>
      </c>
      <c r="AJ10" s="17">
        <v>1</v>
      </c>
      <c r="AK10" s="12">
        <f>IF(Dimensions!$D$63="y",Dimensions!$D$64,AH10+AI10)</f>
        <v>0</v>
      </c>
      <c r="AM10" s="105">
        <f>IF(Dimensions!$D$57="y",Dimensions!$D$58,Dimensions!$D$59-((Dimensions!$D$59-Dimensions!$D$60)/109)*(A10-1))</f>
        <v>224.03394495412843</v>
      </c>
      <c r="AN10" s="12">
        <f>LOOKUP(AM10,'Crush Energy'!$A$10:$A$509,'Crush Energy'!$G$10:$G$509)</f>
        <v>1672.1775891628556</v>
      </c>
      <c r="AO10" s="12">
        <f>IF(Dimensions!$D$57="y",Dimensions!$D$61,AN10*M10)</f>
        <v>728147483.7942857</v>
      </c>
      <c r="AP10" s="12">
        <f aca="true" t="shared" si="10" ref="AP10:AP73">AP9+AO10</f>
        <v>2171583145.8442874</v>
      </c>
    </row>
    <row r="11" spans="1:42" ht="10.5">
      <c r="A11" s="5">
        <f t="shared" si="6"/>
        <v>4</v>
      </c>
      <c r="B11" s="5">
        <f t="shared" si="7"/>
        <v>113</v>
      </c>
      <c r="C11" s="5">
        <f t="shared" si="1"/>
        <v>107</v>
      </c>
      <c r="E11" s="5">
        <v>12</v>
      </c>
      <c r="F11" s="5">
        <v>12</v>
      </c>
      <c r="H11" s="9">
        <v>42</v>
      </c>
      <c r="I11" s="98">
        <f t="shared" si="2"/>
        <v>0.1636828644501279</v>
      </c>
      <c r="J11" s="12">
        <f>Dimensions!$D$40*I11</f>
        <v>127306.35943162537</v>
      </c>
      <c r="K11" s="12">
        <f t="shared" si="8"/>
        <v>437615.6105462122</v>
      </c>
      <c r="M11" s="12">
        <f>LOOKUP(C11,'Concrete Mass'!$B$8:$B$123,'Concrete Mass'!$H$8:$H$123)</f>
        <v>435448.656</v>
      </c>
      <c r="N11" s="12">
        <f>LOOKUP(C11,'Concrete Mass'!$B$8:$B$123,'Concrete Mass'!$O$8:$O$123)</f>
        <v>199779.08065312495</v>
      </c>
      <c r="O11" s="12"/>
      <c r="P11" s="117">
        <f>75*Dimensions!$C$105*Dimensions!$D$23</f>
        <v>1058140.3595405968</v>
      </c>
      <c r="Q11" s="117">
        <f>75*Dimensions!$C$105*Dimensions!$D$23</f>
        <v>1058140.3595405968</v>
      </c>
      <c r="R11" s="117">
        <f>75*Dimensions!$C$105*Dimensions!$D$23</f>
        <v>1058140.3595405968</v>
      </c>
      <c r="S11" s="12"/>
      <c r="T11" s="12"/>
      <c r="U11" s="117">
        <f>322.3402*Dimensions!$D$22</f>
        <v>351720.28588447295</v>
      </c>
      <c r="V11" s="117">
        <f>366.1821*Dimensions!$D$22</f>
        <v>399558.2086806941</v>
      </c>
      <c r="X11" s="18">
        <f t="shared" si="3"/>
        <v>2468001.0049656667</v>
      </c>
      <c r="Z11" s="12">
        <f t="shared" si="4"/>
        <v>1058140.3595405968</v>
      </c>
      <c r="AA11" s="12">
        <f t="shared" si="5"/>
        <v>399558.2086806941</v>
      </c>
      <c r="AC11" s="12">
        <f>IF(Dimensions!$D$52="y",Dimensions!$D$53,J11+M11+N11+X11+Z11+AA11)</f>
        <v>4688233.669271708</v>
      </c>
      <c r="AD11" s="12">
        <f t="shared" si="9"/>
        <v>18328611.396726344</v>
      </c>
      <c r="AE11" s="12"/>
      <c r="AF11" s="9">
        <f t="shared" si="0"/>
        <v>0.027154439904741725</v>
      </c>
      <c r="AH11" s="18">
        <f>Dimensions!$D$49</f>
        <v>269000000</v>
      </c>
      <c r="AI11" s="18">
        <f>Dimensions!$D$50*AJ11</f>
        <v>360000000</v>
      </c>
      <c r="AJ11" s="17">
        <v>1</v>
      </c>
      <c r="AK11" s="12">
        <f>IF(Dimensions!$D$63="y",Dimensions!$D$64,AH11+AI11)</f>
        <v>0</v>
      </c>
      <c r="AM11" s="105">
        <f>IF(Dimensions!$D$57="y",Dimensions!$D$58,Dimensions!$D$59-((Dimensions!$D$59-Dimensions!$D$60)/109)*(A11-1))</f>
        <v>222.50091743119265</v>
      </c>
      <c r="AN11" s="12">
        <f>LOOKUP(AM11,'Crush Energy'!$A$10:$A$509,'Crush Energy'!$G$10:$G$509)</f>
        <v>1687.2422521282867</v>
      </c>
      <c r="AO11" s="12">
        <f>IF(Dimensions!$D$57="y",Dimensions!$D$61,AN11*M11)</f>
        <v>734707371.0356756</v>
      </c>
      <c r="AP11" s="12">
        <f t="shared" si="10"/>
        <v>2906290516.879963</v>
      </c>
    </row>
    <row r="12" spans="1:42" ht="10.5" customHeight="1">
      <c r="A12" s="5">
        <f t="shared" si="6"/>
        <v>5</v>
      </c>
      <c r="B12" s="5">
        <f t="shared" si="7"/>
        <v>112</v>
      </c>
      <c r="C12" s="5">
        <f t="shared" si="1"/>
        <v>106</v>
      </c>
      <c r="E12" s="34">
        <v>10</v>
      </c>
      <c r="F12" s="34">
        <v>1</v>
      </c>
      <c r="H12" s="9">
        <v>42</v>
      </c>
      <c r="I12" s="98">
        <f t="shared" si="2"/>
        <v>0.17902813299232737</v>
      </c>
      <c r="J12" s="12">
        <f>Dimensions!$D$40*I12</f>
        <v>139241.33062834025</v>
      </c>
      <c r="K12" s="12">
        <f t="shared" si="8"/>
        <v>576856.9411745524</v>
      </c>
      <c r="M12" s="12">
        <f>LOOKUP(C12,'Concrete Mass'!$B$8:$B$123,'Concrete Mass'!$H$8:$H$123)</f>
        <v>435448.656</v>
      </c>
      <c r="N12" s="12">
        <f>LOOKUP(C12,'Concrete Mass'!$B$8:$B$123,'Concrete Mass'!$O$8:$O$123)</f>
        <v>199779.08065312495</v>
      </c>
      <c r="O12" s="12"/>
      <c r="P12" s="118">
        <f>17.0885*Dimensions!$D$23</f>
        <v>49379.88922454016</v>
      </c>
      <c r="Q12" s="118">
        <f>73.2364*Dimensions!$D$23</f>
        <v>211628.01411499624</v>
      </c>
      <c r="R12" s="118">
        <f>244.1214*Dimensions!$D$23</f>
        <v>705426.9063603978</v>
      </c>
      <c r="S12" s="12"/>
      <c r="T12" s="12"/>
      <c r="U12" s="118">
        <f>161.1201*Dimensions!$D$22</f>
        <v>175805.5856319965</v>
      </c>
      <c r="V12" s="118">
        <f>366.1821*Dimensions!$D$22</f>
        <v>399558.2086806941</v>
      </c>
      <c r="X12" s="18">
        <f t="shared" si="3"/>
        <v>436813.4889715329</v>
      </c>
      <c r="Z12" s="12">
        <f t="shared" si="4"/>
        <v>705426.9063603978</v>
      </c>
      <c r="AA12" s="12">
        <f t="shared" si="5"/>
        <v>399558.2086806941</v>
      </c>
      <c r="AC12" s="12">
        <f>IF(Dimensions!$D$52="y",Dimensions!$D$53,J12+M12+N12+X12+Z12+AA12)</f>
        <v>2316267.6712940903</v>
      </c>
      <c r="AD12" s="12">
        <f t="shared" si="9"/>
        <v>20644879.068020433</v>
      </c>
      <c r="AE12" s="12"/>
      <c r="AF12" s="9">
        <f t="shared" si="0"/>
        <v>0.0601145249117718</v>
      </c>
      <c r="AH12" s="18">
        <f>Dimensions!$D$49</f>
        <v>269000000</v>
      </c>
      <c r="AI12" s="18">
        <f>Dimensions!$D$50*AJ12</f>
        <v>360000000</v>
      </c>
      <c r="AJ12" s="17">
        <v>1</v>
      </c>
      <c r="AK12" s="12">
        <f>IF(Dimensions!$D$63="y",Dimensions!$D$64,AH12+AI12)</f>
        <v>0</v>
      </c>
      <c r="AM12" s="105">
        <f>IF(Dimensions!$D$57="y",Dimensions!$D$58,Dimensions!$D$59-((Dimensions!$D$59-Dimensions!$D$60)/109)*(A12-1))</f>
        <v>220.96788990825686</v>
      </c>
      <c r="AN12" s="12">
        <f>LOOKUP(AM12,'Crush Energy'!$A$10:$A$509,'Crush Energy'!$G$10:$G$509)</f>
        <v>1702.580818056726</v>
      </c>
      <c r="AO12" s="12">
        <f>IF(Dimensions!$D$57="y",Dimensions!$D$61,AN12*M12)</f>
        <v>741386528.9541819</v>
      </c>
      <c r="AP12" s="12">
        <f t="shared" si="10"/>
        <v>3647677045.8341446</v>
      </c>
    </row>
    <row r="13" spans="1:42" ht="10.5">
      <c r="A13" s="5">
        <f t="shared" si="6"/>
        <v>6</v>
      </c>
      <c r="B13" s="5">
        <f t="shared" si="7"/>
        <v>111</v>
      </c>
      <c r="C13" s="5">
        <f t="shared" si="1"/>
        <v>105</v>
      </c>
      <c r="E13" s="5">
        <v>1</v>
      </c>
      <c r="F13" s="5">
        <v>1</v>
      </c>
      <c r="H13" s="9">
        <v>42</v>
      </c>
      <c r="I13" s="98">
        <f t="shared" si="2"/>
        <v>0.19437340153452684</v>
      </c>
      <c r="J13" s="12">
        <f>Dimensions!$D$40*I13</f>
        <v>151176.30182505512</v>
      </c>
      <c r="K13" s="12">
        <f t="shared" si="8"/>
        <v>728033.2429996076</v>
      </c>
      <c r="M13" s="12">
        <f>LOOKUP(C13,'Concrete Mass'!$B$8:$B$123,'Concrete Mass'!$H$8:$H$123)</f>
        <v>435448.656</v>
      </c>
      <c r="N13" s="12">
        <f>LOOKUP(C13,'Concrete Mass'!$B$8:$B$123,'Concrete Mass'!$O$8:$O$123)</f>
        <v>199779.08065312495</v>
      </c>
      <c r="O13" s="12"/>
      <c r="P13" s="116">
        <f>3.5*Dimensions!$C$105*Dimensions!$D$23</f>
        <v>49379.88344522785</v>
      </c>
      <c r="Q13" s="116">
        <f>15*Dimensions!$C$105*Dimensions!$D$23</f>
        <v>211628.07190811934</v>
      </c>
      <c r="R13" s="116">
        <f>50*Dimensions!$C$105*Dimensions!$D$23</f>
        <v>705426.9063603978</v>
      </c>
      <c r="S13" s="12"/>
      <c r="T13" s="12"/>
      <c r="U13" s="116">
        <f>161.1201*Dimensions!$D$22</f>
        <v>175805.5856319965</v>
      </c>
      <c r="V13" s="116">
        <f>366.1821*Dimensions!$D$22</f>
        <v>399558.2086806941</v>
      </c>
      <c r="X13" s="18">
        <f t="shared" si="3"/>
        <v>436813.5409853437</v>
      </c>
      <c r="Z13" s="12">
        <f t="shared" si="4"/>
        <v>705426.9063603978</v>
      </c>
      <c r="AA13" s="12">
        <f t="shared" si="5"/>
        <v>399558.2086806941</v>
      </c>
      <c r="AC13" s="12">
        <f>IF(Dimensions!$D$52="y",Dimensions!$D$53,J13+M13+N13+X13+Z13+AA13)</f>
        <v>2328202.694504616</v>
      </c>
      <c r="AD13" s="12">
        <f t="shared" si="9"/>
        <v>22973081.762525048</v>
      </c>
      <c r="AE13" s="12"/>
      <c r="AF13" s="9">
        <f t="shared" si="0"/>
        <v>0.06493262042084429</v>
      </c>
      <c r="AH13" s="18">
        <f>Dimensions!$D$49</f>
        <v>269000000</v>
      </c>
      <c r="AI13" s="18">
        <f>Dimensions!$D$50*AJ13</f>
        <v>360000000</v>
      </c>
      <c r="AJ13" s="17">
        <v>1</v>
      </c>
      <c r="AK13" s="12">
        <f>IF(Dimensions!$D$63="y",Dimensions!$D$64,AH13+AI13)</f>
        <v>0</v>
      </c>
      <c r="AM13" s="105">
        <f>IF(Dimensions!$D$57="y",Dimensions!$D$58,Dimensions!$D$59-((Dimensions!$D$59-Dimensions!$D$60)/109)*(A13-1))</f>
        <v>219.43486238532108</v>
      </c>
      <c r="AN13" s="12">
        <f>LOOKUP(AM13,'Crush Energy'!$A$10:$A$509,'Crush Energy'!$G$10:$G$509)</f>
        <v>1710.355159691688</v>
      </c>
      <c r="AO13" s="12">
        <f>IF(Dimensions!$D$57="y",Dimensions!$D$61,AN13*M13)</f>
        <v>744771855.570411</v>
      </c>
      <c r="AP13" s="12">
        <f t="shared" si="10"/>
        <v>4392448901.404555</v>
      </c>
    </row>
    <row r="14" spans="1:42" ht="10.5">
      <c r="A14" s="5">
        <f t="shared" si="6"/>
        <v>7</v>
      </c>
      <c r="B14" s="5">
        <f t="shared" si="7"/>
        <v>110</v>
      </c>
      <c r="C14" s="5">
        <f t="shared" si="1"/>
        <v>104</v>
      </c>
      <c r="E14" s="5">
        <v>1</v>
      </c>
      <c r="F14" s="5">
        <v>1</v>
      </c>
      <c r="H14" s="9">
        <v>42</v>
      </c>
      <c r="I14" s="98">
        <f t="shared" si="2"/>
        <v>0.20971867007672634</v>
      </c>
      <c r="J14" s="12">
        <f>Dimensions!$D$40*I14</f>
        <v>163111.27302177</v>
      </c>
      <c r="K14" s="12">
        <f t="shared" si="8"/>
        <v>891144.5160213776</v>
      </c>
      <c r="M14" s="12">
        <f>LOOKUP(C14,'Concrete Mass'!$B$8:$B$123,'Concrete Mass'!$H$8:$H$123)</f>
        <v>435448.656</v>
      </c>
      <c r="N14" s="12">
        <f>LOOKUP(C14,'Concrete Mass'!$B$8:$B$123,'Concrete Mass'!$O$8:$O$123)</f>
        <v>199779.08065312495</v>
      </c>
      <c r="O14" s="12"/>
      <c r="P14" s="116">
        <f>3.5*Dimensions!$C$105*Dimensions!$D$23</f>
        <v>49379.88344522785</v>
      </c>
      <c r="Q14" s="116">
        <f>15*Dimensions!$C$105*Dimensions!$D$23</f>
        <v>211628.07190811934</v>
      </c>
      <c r="R14" s="116">
        <f>50*Dimensions!$C$105*Dimensions!$D$23</f>
        <v>705426.9063603978</v>
      </c>
      <c r="S14" s="12"/>
      <c r="T14" s="12"/>
      <c r="U14" s="116">
        <f>161.1201*Dimensions!$D$22</f>
        <v>175805.5856319965</v>
      </c>
      <c r="V14" s="116">
        <f>366.1821*Dimensions!$D$22</f>
        <v>399558.2086806941</v>
      </c>
      <c r="X14" s="18">
        <f t="shared" si="3"/>
        <v>436813.5409853437</v>
      </c>
      <c r="Z14" s="12">
        <f t="shared" si="4"/>
        <v>705426.9063603978</v>
      </c>
      <c r="AA14" s="12">
        <f t="shared" si="5"/>
        <v>399558.2086806941</v>
      </c>
      <c r="AC14" s="12">
        <f>IF(Dimensions!$D$52="y",Dimensions!$D$53,J14+M14+N14+X14+Z14+AA14)</f>
        <v>2340137.6657013306</v>
      </c>
      <c r="AD14" s="12">
        <f t="shared" si="9"/>
        <v>25313219.428226378</v>
      </c>
      <c r="AE14" s="12"/>
      <c r="AF14" s="9">
        <f t="shared" si="0"/>
        <v>0.06970157158377524</v>
      </c>
      <c r="AH14" s="18">
        <f>Dimensions!$D$49</f>
        <v>269000000</v>
      </c>
      <c r="AI14" s="18">
        <f>Dimensions!$D$50*AJ14</f>
        <v>360000000</v>
      </c>
      <c r="AJ14" s="17">
        <v>1</v>
      </c>
      <c r="AK14" s="12">
        <f>IF(Dimensions!$D$63="y",Dimensions!$D$64,AH14+AI14)</f>
        <v>0</v>
      </c>
      <c r="AM14" s="105">
        <f>IF(Dimensions!$D$57="y",Dimensions!$D$58,Dimensions!$D$59-((Dimensions!$D$59-Dimensions!$D$60)/109)*(A14-1))</f>
        <v>217.90183486238533</v>
      </c>
      <c r="AN14" s="12">
        <f>LOOKUP(AM14,'Crush Energy'!$A$10:$A$509,'Crush Energy'!$G$10:$G$509)</f>
        <v>1726.1188017164961</v>
      </c>
      <c r="AO14" s="12">
        <f>IF(Dimensions!$D$57="y",Dimensions!$D$61,AN14*M14)</f>
        <v>751636112.3037788</v>
      </c>
      <c r="AP14" s="12">
        <f t="shared" si="10"/>
        <v>5144085013.708334</v>
      </c>
    </row>
    <row r="15" spans="1:42" ht="10.5">
      <c r="A15" s="5">
        <f t="shared" si="6"/>
        <v>8</v>
      </c>
      <c r="B15" s="5">
        <f t="shared" si="7"/>
        <v>109</v>
      </c>
      <c r="C15" s="5">
        <f t="shared" si="1"/>
        <v>103</v>
      </c>
      <c r="E15" s="5">
        <v>1</v>
      </c>
      <c r="F15" s="5">
        <v>1</v>
      </c>
      <c r="H15" s="9">
        <v>42</v>
      </c>
      <c r="I15" s="98">
        <f t="shared" si="2"/>
        <v>0.22506393861892582</v>
      </c>
      <c r="J15" s="12">
        <f>Dimensions!$D$40*I15</f>
        <v>175046.24421848488</v>
      </c>
      <c r="K15" s="12">
        <f t="shared" si="8"/>
        <v>1066190.7602398626</v>
      </c>
      <c r="M15" s="12">
        <f>LOOKUP(C15,'Concrete Mass'!$B$8:$B$123,'Concrete Mass'!$H$8:$H$123)</f>
        <v>435448.656</v>
      </c>
      <c r="N15" s="12">
        <f>LOOKUP(C15,'Concrete Mass'!$B$8:$B$123,'Concrete Mass'!$O$8:$O$123)</f>
        <v>199779.08065312495</v>
      </c>
      <c r="O15" s="12"/>
      <c r="P15" s="116">
        <f>3.5*Dimensions!$C$105*Dimensions!$D$23</f>
        <v>49379.88344522785</v>
      </c>
      <c r="Q15" s="116">
        <f>15*Dimensions!$C$105*Dimensions!$D$23</f>
        <v>211628.07190811934</v>
      </c>
      <c r="R15" s="116">
        <f>50*Dimensions!$C$105*Dimensions!$D$23</f>
        <v>705426.9063603978</v>
      </c>
      <c r="S15" s="12"/>
      <c r="T15" s="12"/>
      <c r="U15" s="116">
        <f>161.1201*Dimensions!$D$22</f>
        <v>175805.5856319965</v>
      </c>
      <c r="V15" s="116">
        <f>366.1821*Dimensions!$D$22</f>
        <v>399558.2086806941</v>
      </c>
      <c r="X15" s="18">
        <f t="shared" si="3"/>
        <v>436813.5409853437</v>
      </c>
      <c r="Z15" s="12">
        <f t="shared" si="4"/>
        <v>705426.9063603978</v>
      </c>
      <c r="AA15" s="12">
        <f t="shared" si="5"/>
        <v>399558.2086806941</v>
      </c>
      <c r="AC15" s="12">
        <f>IF(Dimensions!$D$52="y",Dimensions!$D$53,J15+M15+N15+X15+Z15+AA15)</f>
        <v>2352072.6368980454</v>
      </c>
      <c r="AD15" s="12">
        <f t="shared" si="9"/>
        <v>27665292.065124422</v>
      </c>
      <c r="AE15" s="12"/>
      <c r="AF15" s="9">
        <f t="shared" si="0"/>
        <v>0.07442212518119293</v>
      </c>
      <c r="AH15" s="18">
        <f>Dimensions!$D$49</f>
        <v>269000000</v>
      </c>
      <c r="AI15" s="18">
        <f>Dimensions!$D$50*AJ15</f>
        <v>360000000</v>
      </c>
      <c r="AJ15" s="17">
        <v>1</v>
      </c>
      <c r="AK15" s="12">
        <f>IF(Dimensions!$D$63="y",Dimensions!$D$64,AH15+AI15)</f>
        <v>0</v>
      </c>
      <c r="AM15" s="105">
        <f>IF(Dimensions!$D$57="y",Dimensions!$D$58,Dimensions!$D$59-((Dimensions!$D$59-Dimensions!$D$60)/109)*(A15-1))</f>
        <v>216.36880733944955</v>
      </c>
      <c r="AN15" s="12">
        <f>LOOKUP(AM15,'Crush Energy'!$A$10:$A$509,'Crush Energy'!$G$10:$G$509)</f>
        <v>1734.1100924651837</v>
      </c>
      <c r="AO15" s="12">
        <f>IF(Dimensions!$D$57="y",Dimensions!$D$61,AN15*M15)</f>
        <v>755115909.12</v>
      </c>
      <c r="AP15" s="12">
        <f t="shared" si="10"/>
        <v>5899200922.828334</v>
      </c>
    </row>
    <row r="16" spans="1:42" ht="10.5">
      <c r="A16" s="5">
        <f t="shared" si="6"/>
        <v>9</v>
      </c>
      <c r="B16" s="5">
        <f t="shared" si="7"/>
        <v>108</v>
      </c>
      <c r="C16" s="5">
        <f t="shared" si="1"/>
        <v>102</v>
      </c>
      <c r="E16" s="5">
        <v>1</v>
      </c>
      <c r="F16" s="5">
        <v>1</v>
      </c>
      <c r="H16" s="9">
        <v>42</v>
      </c>
      <c r="I16" s="98">
        <f t="shared" si="2"/>
        <v>0.24040920716112532</v>
      </c>
      <c r="J16" s="12">
        <f>Dimensions!$D$40*I16</f>
        <v>186981.21541519975</v>
      </c>
      <c r="K16" s="12">
        <f t="shared" si="8"/>
        <v>1253171.9756550624</v>
      </c>
      <c r="M16" s="12">
        <f>LOOKUP(C16,'Concrete Mass'!$B$8:$B$123,'Concrete Mass'!$H$8:$H$123)</f>
        <v>435448.656</v>
      </c>
      <c r="N16" s="12">
        <f>LOOKUP(C16,'Concrete Mass'!$B$8:$B$123,'Concrete Mass'!$O$8:$O$123)</f>
        <v>199779.08065312495</v>
      </c>
      <c r="O16" s="12"/>
      <c r="P16" s="116">
        <f>3.5*Dimensions!$C$105*Dimensions!$D$23</f>
        <v>49379.88344522785</v>
      </c>
      <c r="Q16" s="116">
        <f>15*Dimensions!$C$105*Dimensions!$D$23</f>
        <v>211628.07190811934</v>
      </c>
      <c r="R16" s="116">
        <f>50*Dimensions!$C$105*Dimensions!$D$23</f>
        <v>705426.9063603978</v>
      </c>
      <c r="S16" s="12"/>
      <c r="T16" s="12"/>
      <c r="U16" s="116">
        <f>161.1201*Dimensions!$D$22</f>
        <v>175805.5856319965</v>
      </c>
      <c r="V16" s="116">
        <f>366.1821*Dimensions!$D$22</f>
        <v>399558.2086806941</v>
      </c>
      <c r="X16" s="18">
        <f t="shared" si="3"/>
        <v>436813.5409853437</v>
      </c>
      <c r="Z16" s="12">
        <f t="shared" si="4"/>
        <v>705426.9063603978</v>
      </c>
      <c r="AA16" s="12">
        <f t="shared" si="5"/>
        <v>399558.2086806941</v>
      </c>
      <c r="AC16" s="12">
        <f>IF(Dimensions!$D$52="y",Dimensions!$D$53,J16+M16+N16+X16+Z16+AA16)</f>
        <v>2364007.60809476</v>
      </c>
      <c r="AD16" s="12">
        <f t="shared" si="9"/>
        <v>30029299.67321918</v>
      </c>
      <c r="AE16" s="12"/>
      <c r="AF16" s="9">
        <f t="shared" si="0"/>
        <v>0.07909501423554839</v>
      </c>
      <c r="AH16" s="18">
        <f>Dimensions!$D$49</f>
        <v>269000000</v>
      </c>
      <c r="AI16" s="18">
        <f>Dimensions!$D$50*AJ16</f>
        <v>360000000</v>
      </c>
      <c r="AJ16" s="17">
        <v>1</v>
      </c>
      <c r="AK16" s="12">
        <f>IF(Dimensions!$D$63="y",Dimensions!$D$64,AH16+AI16)</f>
        <v>0</v>
      </c>
      <c r="AM16" s="105">
        <f>IF(Dimensions!$D$57="y",Dimensions!$D$58,Dimensions!$D$59-((Dimensions!$D$59-Dimensions!$D$60)/109)*(A16-1))</f>
        <v>214.83577981651376</v>
      </c>
      <c r="AN16" s="12">
        <f>LOOKUP(AM16,'Crush Energy'!$A$10:$A$509,'Crush Energy'!$G$10:$G$509)</f>
        <v>1750.316728843363</v>
      </c>
      <c r="AO16" s="12">
        <f>IF(Dimensions!$D$57="y",Dimensions!$D$61,AN16*M16)</f>
        <v>762173067.149159</v>
      </c>
      <c r="AP16" s="12">
        <f t="shared" si="10"/>
        <v>6661373989.977493</v>
      </c>
    </row>
    <row r="17" spans="1:42" ht="10.5">
      <c r="A17" s="5">
        <f t="shared" si="6"/>
        <v>10</v>
      </c>
      <c r="B17" s="5">
        <f t="shared" si="7"/>
        <v>107</v>
      </c>
      <c r="C17" s="5">
        <f t="shared" si="1"/>
        <v>101</v>
      </c>
      <c r="E17" s="5">
        <v>1</v>
      </c>
      <c r="F17" s="5">
        <v>1</v>
      </c>
      <c r="H17" s="9">
        <f>H16+((H117-H8)/12)</f>
        <v>46.833333333333336</v>
      </c>
      <c r="I17" s="98">
        <f t="shared" si="2"/>
        <v>0.2557544757033248</v>
      </c>
      <c r="J17" s="12">
        <f>Dimensions!$D$40*I17</f>
        <v>198916.18661191466</v>
      </c>
      <c r="K17" s="12">
        <f t="shared" si="8"/>
        <v>1452088.1622669771</v>
      </c>
      <c r="M17" s="12">
        <f>LOOKUP(C17,'Concrete Mass'!$B$8:$B$123,'Concrete Mass'!$H$8:$H$123)</f>
        <v>435448.656</v>
      </c>
      <c r="N17" s="12">
        <f>LOOKUP(C17,'Concrete Mass'!$B$8:$B$123,'Concrete Mass'!$O$8:$O$123)</f>
        <v>199779.08065312495</v>
      </c>
      <c r="O17" s="12"/>
      <c r="P17" s="116">
        <f>3.5*Dimensions!$C$105*Dimensions!$D$23</f>
        <v>49379.88344522785</v>
      </c>
      <c r="Q17" s="116">
        <f>15*Dimensions!$C$105*Dimensions!$D$23</f>
        <v>211628.07190811934</v>
      </c>
      <c r="R17" s="116">
        <f>50*Dimensions!$C$105*Dimensions!$D$23</f>
        <v>705426.9063603978</v>
      </c>
      <c r="S17" s="12"/>
      <c r="T17" s="12"/>
      <c r="U17" s="116">
        <f>161.1201*Dimensions!$D$22</f>
        <v>175805.5856319965</v>
      </c>
      <c r="V17" s="116">
        <f>366.1821*Dimensions!$D$22</f>
        <v>399558.2086806941</v>
      </c>
      <c r="X17" s="18">
        <f t="shared" si="3"/>
        <v>436813.5409853437</v>
      </c>
      <c r="Z17" s="12">
        <f t="shared" si="4"/>
        <v>705426.9063603978</v>
      </c>
      <c r="AA17" s="12">
        <f t="shared" si="5"/>
        <v>399558.2086806941</v>
      </c>
      <c r="AC17" s="12">
        <f>IF(Dimensions!$D$52="y",Dimensions!$D$53,J17+M17+N17+X17+Z17+AA17)</f>
        <v>2375942.5792914755</v>
      </c>
      <c r="AD17" s="12">
        <f t="shared" si="9"/>
        <v>32405242.252510656</v>
      </c>
      <c r="AE17" s="12"/>
      <c r="AF17" s="9">
        <f t="shared" si="0"/>
        <v>0.08372095704065079</v>
      </c>
      <c r="AH17" s="18">
        <f>Dimensions!$D$49</f>
        <v>269000000</v>
      </c>
      <c r="AI17" s="18">
        <f>Dimensions!$D$50*AJ17</f>
        <v>360000000</v>
      </c>
      <c r="AJ17" s="17">
        <v>1</v>
      </c>
      <c r="AK17" s="12">
        <f>IF(Dimensions!$D$63="y",Dimensions!$D$64,AH17+AI17)</f>
        <v>0</v>
      </c>
      <c r="AM17" s="105">
        <f>IF(Dimensions!$D$57="y",Dimensions!$D$58,Dimensions!$D$59-((Dimensions!$D$59-Dimensions!$D$60)/109)*(A17-1))</f>
        <v>213.30275229357798</v>
      </c>
      <c r="AN17" s="12">
        <f>LOOKUP(AM17,'Crush Energy'!$A$10:$A$509,'Crush Energy'!$G$10:$G$509)</f>
        <v>1758.5341782745522</v>
      </c>
      <c r="AO17" s="12">
        <f>IF(Dimensions!$D$57="y",Dimensions!$D$61,AN17*M17)</f>
        <v>765751344.4597182</v>
      </c>
      <c r="AP17" s="12">
        <f t="shared" si="10"/>
        <v>7427125334.437212</v>
      </c>
    </row>
    <row r="18" spans="1:42" ht="10.5">
      <c r="A18" s="5">
        <f t="shared" si="6"/>
        <v>11</v>
      </c>
      <c r="B18" s="5">
        <f t="shared" si="7"/>
        <v>106</v>
      </c>
      <c r="C18" s="5">
        <f t="shared" si="1"/>
        <v>100</v>
      </c>
      <c r="E18" s="5">
        <v>1</v>
      </c>
      <c r="F18" s="5">
        <v>1</v>
      </c>
      <c r="H18" s="9">
        <f>H17</f>
        <v>46.833333333333336</v>
      </c>
      <c r="I18" s="98">
        <f t="shared" si="2"/>
        <v>0.2710997442455243</v>
      </c>
      <c r="J18" s="12">
        <f>Dimensions!$D$40*I18</f>
        <v>210851.1578086295</v>
      </c>
      <c r="K18" s="12">
        <f t="shared" si="8"/>
        <v>1662939.3200756067</v>
      </c>
      <c r="M18" s="12">
        <f>LOOKUP(C18,'Concrete Mass'!$B$8:$B$123,'Concrete Mass'!$H$8:$H$123)</f>
        <v>435448.656</v>
      </c>
      <c r="N18" s="12">
        <f>LOOKUP(C18,'Concrete Mass'!$B$8:$B$123,'Concrete Mass'!$O$8:$O$123)</f>
        <v>199779.08065312495</v>
      </c>
      <c r="O18" s="12"/>
      <c r="P18" s="116">
        <f>3.5*Dimensions!$C$105*Dimensions!$D$23</f>
        <v>49379.88344522785</v>
      </c>
      <c r="Q18" s="116">
        <f>15*Dimensions!$C$105*Dimensions!$D$23</f>
        <v>211628.07190811934</v>
      </c>
      <c r="R18" s="116">
        <f>50*Dimensions!$C$105*Dimensions!$D$23</f>
        <v>705426.9063603978</v>
      </c>
      <c r="S18" s="12"/>
      <c r="T18" s="12"/>
      <c r="U18" s="116">
        <f>161.1201*Dimensions!$D$22</f>
        <v>175805.5856319965</v>
      </c>
      <c r="V18" s="116">
        <f>366.1821*Dimensions!$D$22</f>
        <v>399558.2086806941</v>
      </c>
      <c r="X18" s="18">
        <f t="shared" si="3"/>
        <v>436813.5409853437</v>
      </c>
      <c r="Z18" s="12">
        <f t="shared" si="4"/>
        <v>705426.9063603978</v>
      </c>
      <c r="AA18" s="12">
        <f t="shared" si="5"/>
        <v>399558.2086806941</v>
      </c>
      <c r="AC18" s="12">
        <f>IF(Dimensions!$D$52="y",Dimensions!$D$53,J18+M18+N18+X18+Z18+AA18)</f>
        <v>2387877.5504881903</v>
      </c>
      <c r="AD18" s="12">
        <f t="shared" si="9"/>
        <v>34793119.80299885</v>
      </c>
      <c r="AE18" s="12"/>
      <c r="AF18" s="9">
        <f t="shared" si="0"/>
        <v>0.08830065752974728</v>
      </c>
      <c r="AH18" s="18">
        <f>Dimensions!$D$49</f>
        <v>269000000</v>
      </c>
      <c r="AI18" s="18">
        <f>Dimensions!$D$50*AJ18</f>
        <v>360000000</v>
      </c>
      <c r="AJ18" s="17">
        <v>1</v>
      </c>
      <c r="AK18" s="12">
        <f>IF(Dimensions!$D$63="y",Dimensions!$D$64,AH18+AI18)</f>
        <v>0</v>
      </c>
      <c r="AM18" s="105">
        <f>IF(Dimensions!$D$57="y",Dimensions!$D$58,Dimensions!$D$59-((Dimensions!$D$59-Dimensions!$D$60)/109)*(A18-1))</f>
        <v>211.7697247706422</v>
      </c>
      <c r="AN18" s="12">
        <f>LOOKUP(AM18,'Crush Energy'!$A$10:$A$509,'Crush Energy'!$G$10:$G$509)</f>
        <v>1775.2027486847378</v>
      </c>
      <c r="AO18" s="12">
        <f>IF(Dimensions!$D$57="y",Dimensions!$D$61,AN18*M18)</f>
        <v>773009651.0422748</v>
      </c>
      <c r="AP18" s="12">
        <f t="shared" si="10"/>
        <v>8200134985.479486</v>
      </c>
    </row>
    <row r="19" spans="1:42" ht="10.5">
      <c r="A19" s="5">
        <f t="shared" si="6"/>
        <v>12</v>
      </c>
      <c r="B19" s="5">
        <f t="shared" si="7"/>
        <v>105</v>
      </c>
      <c r="C19" s="5">
        <f t="shared" si="1"/>
        <v>99</v>
      </c>
      <c r="E19" s="5">
        <v>1</v>
      </c>
      <c r="F19" s="5">
        <v>1</v>
      </c>
      <c r="H19" s="9">
        <f aca="true" t="shared" si="11" ref="H19:H25">H18</f>
        <v>46.833333333333336</v>
      </c>
      <c r="I19" s="98">
        <f t="shared" si="2"/>
        <v>0.2864450127877238</v>
      </c>
      <c r="J19" s="12">
        <f>Dimensions!$D$40*I19</f>
        <v>222786.12900534438</v>
      </c>
      <c r="K19" s="12">
        <f t="shared" si="8"/>
        <v>1885725.449080951</v>
      </c>
      <c r="M19" s="12">
        <f>LOOKUP(C19,'Concrete Mass'!$B$8:$B$123,'Concrete Mass'!$H$8:$H$123)</f>
        <v>435448.656</v>
      </c>
      <c r="N19" s="12">
        <f>LOOKUP(C19,'Concrete Mass'!$B$8:$B$123,'Concrete Mass'!$O$8:$O$123)</f>
        <v>199779.08065312495</v>
      </c>
      <c r="O19" s="12"/>
      <c r="P19" s="116">
        <f>3.5*Dimensions!$C$105*Dimensions!$D$23</f>
        <v>49379.88344522785</v>
      </c>
      <c r="Q19" s="116">
        <f>15*Dimensions!$C$105*Dimensions!$D$23</f>
        <v>211628.07190811934</v>
      </c>
      <c r="R19" s="116">
        <f>50*Dimensions!$C$105*Dimensions!$D$23</f>
        <v>705426.9063603978</v>
      </c>
      <c r="S19" s="12"/>
      <c r="T19" s="12"/>
      <c r="U19" s="116">
        <f>161.1201*Dimensions!$D$22</f>
        <v>175805.5856319965</v>
      </c>
      <c r="V19" s="116">
        <f>366.1821*Dimensions!$D$22</f>
        <v>399558.2086806941</v>
      </c>
      <c r="X19" s="18">
        <f t="shared" si="3"/>
        <v>436813.5409853437</v>
      </c>
      <c r="Z19" s="12">
        <f t="shared" si="4"/>
        <v>705426.9063603978</v>
      </c>
      <c r="AA19" s="12">
        <f t="shared" si="5"/>
        <v>399558.2086806941</v>
      </c>
      <c r="AC19" s="12">
        <f>IF(Dimensions!$D$52="y",Dimensions!$D$53,J19+M19+N19+X19+Z19+AA19)</f>
        <v>2399812.521684905</v>
      </c>
      <c r="AD19" s="12">
        <f t="shared" si="9"/>
        <v>37192932.324683756</v>
      </c>
      <c r="AE19" s="12"/>
      <c r="AF19" s="9">
        <f t="shared" si="0"/>
        <v>0.0928348056326194</v>
      </c>
      <c r="AH19" s="18">
        <f>Dimensions!$D$49</f>
        <v>269000000</v>
      </c>
      <c r="AI19" s="18">
        <f>Dimensions!$D$50*AJ19</f>
        <v>360000000</v>
      </c>
      <c r="AJ19" s="17">
        <v>1</v>
      </c>
      <c r="AK19" s="12">
        <f>IF(Dimensions!$D$63="y",Dimensions!$D$64,AH19+AI19)</f>
        <v>0</v>
      </c>
      <c r="AM19" s="105">
        <f>IF(Dimensions!$D$57="y",Dimensions!$D$58,Dimensions!$D$59-((Dimensions!$D$59-Dimensions!$D$60)/109)*(A19-1))</f>
        <v>210.23669724770642</v>
      </c>
      <c r="AN19" s="12">
        <f>LOOKUP(AM19,'Crush Energy'!$A$10:$A$509,'Crush Energy'!$G$10:$G$509)</f>
        <v>1783.656095107046</v>
      </c>
      <c r="AO19" s="12">
        <f>IF(Dimensions!$D$57="y",Dimensions!$D$61,AN19*M19)</f>
        <v>776690649.3805714</v>
      </c>
      <c r="AP19" s="12">
        <f t="shared" si="10"/>
        <v>8976825634.860058</v>
      </c>
    </row>
    <row r="20" spans="1:42" ht="10.5">
      <c r="A20" s="5">
        <f t="shared" si="6"/>
        <v>13</v>
      </c>
      <c r="B20" s="5">
        <f t="shared" si="7"/>
        <v>104</v>
      </c>
      <c r="C20" s="5">
        <f t="shared" si="1"/>
        <v>98</v>
      </c>
      <c r="E20" s="5">
        <v>1</v>
      </c>
      <c r="F20" s="5">
        <v>1</v>
      </c>
      <c r="H20" s="9">
        <f t="shared" si="11"/>
        <v>46.833333333333336</v>
      </c>
      <c r="I20" s="98">
        <f t="shared" si="2"/>
        <v>0.30179028132992325</v>
      </c>
      <c r="J20" s="12">
        <f>Dimensions!$D$40*I20</f>
        <v>234721.10020205926</v>
      </c>
      <c r="K20" s="12">
        <f t="shared" si="8"/>
        <v>2120446.5492830104</v>
      </c>
      <c r="M20" s="12">
        <f>LOOKUP(C20,'Concrete Mass'!$B$8:$B$123,'Concrete Mass'!$H$8:$H$123)</f>
        <v>435448.656</v>
      </c>
      <c r="N20" s="12">
        <f>LOOKUP(C20,'Concrete Mass'!$B$8:$B$123,'Concrete Mass'!$O$8:$O$123)</f>
        <v>199779.08065312495</v>
      </c>
      <c r="O20" s="12"/>
      <c r="P20" s="116">
        <f>3.5*Dimensions!$C$105*Dimensions!$D$23</f>
        <v>49379.88344522785</v>
      </c>
      <c r="Q20" s="116">
        <f>15*Dimensions!$C$105*Dimensions!$D$23</f>
        <v>211628.07190811934</v>
      </c>
      <c r="R20" s="116">
        <f>50*Dimensions!$C$105*Dimensions!$D$23</f>
        <v>705426.9063603978</v>
      </c>
      <c r="S20" s="12"/>
      <c r="T20" s="12"/>
      <c r="U20" s="116">
        <f>161.1201*Dimensions!$D$22</f>
        <v>175805.5856319965</v>
      </c>
      <c r="V20" s="116">
        <f>366.1821*Dimensions!$D$22</f>
        <v>399558.2086806941</v>
      </c>
      <c r="X20" s="18">
        <f t="shared" si="3"/>
        <v>436813.5409853437</v>
      </c>
      <c r="Z20" s="12">
        <f t="shared" si="4"/>
        <v>705426.9063603978</v>
      </c>
      <c r="AA20" s="12">
        <f t="shared" si="5"/>
        <v>399558.2086806941</v>
      </c>
      <c r="AC20" s="12">
        <f>IF(Dimensions!$D$52="y",Dimensions!$D$53,J20+M20+N20+X20+Z20+AA20)</f>
        <v>2411747.49288162</v>
      </c>
      <c r="AD20" s="12">
        <f t="shared" si="9"/>
        <v>39604679.817565374</v>
      </c>
      <c r="AE20" s="12"/>
      <c r="AF20" s="9">
        <f t="shared" si="0"/>
        <v>0.09732407762207654</v>
      </c>
      <c r="AH20" s="18">
        <f>Dimensions!$D$49</f>
        <v>269000000</v>
      </c>
      <c r="AI20" s="18">
        <f>Dimensions!$D$50*AJ20</f>
        <v>360000000</v>
      </c>
      <c r="AJ20" s="17">
        <v>1</v>
      </c>
      <c r="AK20" s="12">
        <f>IF(Dimensions!$D$63="y",Dimensions!$D$64,AH20+AI20)</f>
        <v>0</v>
      </c>
      <c r="AM20" s="105">
        <f>IF(Dimensions!$D$57="y",Dimensions!$D$58,Dimensions!$D$59-((Dimensions!$D$59-Dimensions!$D$60)/109)*(A20-1))</f>
        <v>208.70366972477063</v>
      </c>
      <c r="AN20" s="12">
        <f>LOOKUP(AM20,'Crush Energy'!$A$10:$A$509,'Crush Energy'!$G$10:$G$509)</f>
        <v>1800.8066344830756</v>
      </c>
      <c r="AO20" s="12">
        <f>IF(Dimensions!$D$57="y",Dimensions!$D$61,AN20*M20)</f>
        <v>784158828.7015386</v>
      </c>
      <c r="AP20" s="12">
        <f t="shared" si="10"/>
        <v>9760984463.561596</v>
      </c>
    </row>
    <row r="21" spans="1:42" ht="10.5">
      <c r="A21" s="5">
        <f t="shared" si="6"/>
        <v>14</v>
      </c>
      <c r="B21" s="5">
        <f t="shared" si="7"/>
        <v>103</v>
      </c>
      <c r="C21" s="5">
        <f t="shared" si="1"/>
        <v>97</v>
      </c>
      <c r="E21" s="5">
        <v>1</v>
      </c>
      <c r="F21" s="5">
        <v>1</v>
      </c>
      <c r="H21" s="9">
        <f t="shared" si="11"/>
        <v>46.833333333333336</v>
      </c>
      <c r="I21" s="98">
        <f t="shared" si="2"/>
        <v>0.3171355498721228</v>
      </c>
      <c r="J21" s="12">
        <f>Dimensions!$D$40*I21</f>
        <v>246656.07139877416</v>
      </c>
      <c r="K21" s="12">
        <f t="shared" si="8"/>
        <v>2367102.6206817846</v>
      </c>
      <c r="M21" s="12">
        <f>LOOKUP(C21,'Concrete Mass'!$B$8:$B$123,'Concrete Mass'!$H$8:$H$123)</f>
        <v>435448.656</v>
      </c>
      <c r="N21" s="12">
        <f>LOOKUP(C21,'Concrete Mass'!$B$8:$B$123,'Concrete Mass'!$O$8:$O$123)</f>
        <v>199779.08065312495</v>
      </c>
      <c r="O21" s="12"/>
      <c r="P21" s="116">
        <f>3.5*Dimensions!$C$105*Dimensions!$D$23</f>
        <v>49379.88344522785</v>
      </c>
      <c r="Q21" s="116">
        <f>15*Dimensions!$C$105*Dimensions!$D$23</f>
        <v>211628.07190811934</v>
      </c>
      <c r="R21" s="116">
        <f>50*Dimensions!$C$105*Dimensions!$D$23</f>
        <v>705426.9063603978</v>
      </c>
      <c r="S21" s="12"/>
      <c r="T21" s="12"/>
      <c r="U21" s="116">
        <f>161.1201*Dimensions!$D$22</f>
        <v>175805.5856319965</v>
      </c>
      <c r="V21" s="116">
        <f>366.1821*Dimensions!$D$22</f>
        <v>399558.2086806941</v>
      </c>
      <c r="X21" s="18">
        <f t="shared" si="3"/>
        <v>436813.5409853437</v>
      </c>
      <c r="Z21" s="12">
        <f t="shared" si="4"/>
        <v>705426.9063603978</v>
      </c>
      <c r="AA21" s="12">
        <f t="shared" si="5"/>
        <v>399558.2086806941</v>
      </c>
      <c r="AC21" s="12">
        <f>IF(Dimensions!$D$52="y",Dimensions!$D$53,J21+M21+N21+X21+Z21+AA21)</f>
        <v>2423682.4640783346</v>
      </c>
      <c r="AD21" s="12">
        <f t="shared" si="9"/>
        <v>42028362.28164371</v>
      </c>
      <c r="AE21" s="12"/>
      <c r="AF21" s="9">
        <f t="shared" si="0"/>
        <v>0.10176913645021203</v>
      </c>
      <c r="AH21" s="18">
        <f>Dimensions!$D$49</f>
        <v>269000000</v>
      </c>
      <c r="AI21" s="18">
        <f>Dimensions!$D$50*AJ21</f>
        <v>360000000</v>
      </c>
      <c r="AJ21" s="17">
        <v>1</v>
      </c>
      <c r="AK21" s="12">
        <f>IF(Dimensions!$D$63="y",Dimensions!$D$64,AH21+AI21)</f>
        <v>0</v>
      </c>
      <c r="AM21" s="105">
        <f>IF(Dimensions!$D$57="y",Dimensions!$D$58,Dimensions!$D$59-((Dimensions!$D$59-Dimensions!$D$60)/109)*(A21-1))</f>
        <v>207.17064220183485</v>
      </c>
      <c r="AN21" s="12">
        <f>LOOKUP(AM21,'Crush Energy'!$A$10:$A$509,'Crush Energy'!$G$10:$G$509)</f>
        <v>1809.5061834419305</v>
      </c>
      <c r="AO21" s="12">
        <f>IF(Dimensions!$D$57="y",Dimensions!$D$61,AN21*M21)</f>
        <v>787947035.6034781</v>
      </c>
      <c r="AP21" s="12">
        <f t="shared" si="10"/>
        <v>10548931499.165073</v>
      </c>
    </row>
    <row r="22" spans="1:42" ht="10.5">
      <c r="A22" s="5">
        <f t="shared" si="6"/>
        <v>15</v>
      </c>
      <c r="B22" s="5">
        <f t="shared" si="7"/>
        <v>102</v>
      </c>
      <c r="C22" s="5">
        <f t="shared" si="1"/>
        <v>96</v>
      </c>
      <c r="E22" s="5">
        <v>1</v>
      </c>
      <c r="F22" s="5">
        <v>1</v>
      </c>
      <c r="H22" s="9">
        <f t="shared" si="11"/>
        <v>46.833333333333336</v>
      </c>
      <c r="I22" s="98">
        <f t="shared" si="2"/>
        <v>0.33248081841432225</v>
      </c>
      <c r="J22" s="12">
        <f>Dimensions!$D$40*I22</f>
        <v>258591.04259548904</v>
      </c>
      <c r="K22" s="12">
        <f t="shared" si="8"/>
        <v>2625693.6632772735</v>
      </c>
      <c r="M22" s="12">
        <f>LOOKUP(C22,'Concrete Mass'!$B$8:$B$123,'Concrete Mass'!$H$8:$H$123)</f>
        <v>435448.656</v>
      </c>
      <c r="N22" s="12">
        <f>LOOKUP(C22,'Concrete Mass'!$B$8:$B$123,'Concrete Mass'!$O$8:$O$123)</f>
        <v>199779.08065312495</v>
      </c>
      <c r="O22" s="12"/>
      <c r="P22" s="116">
        <f>3.5*Dimensions!$C$105*Dimensions!$D$23</f>
        <v>49379.88344522785</v>
      </c>
      <c r="Q22" s="116">
        <f>15*Dimensions!$C$105*Dimensions!$D$23</f>
        <v>211628.07190811934</v>
      </c>
      <c r="R22" s="116">
        <f>50*Dimensions!$C$105*Dimensions!$D$23</f>
        <v>705426.9063603978</v>
      </c>
      <c r="S22" s="12"/>
      <c r="U22" s="116">
        <f>161.1201*Dimensions!$D$22</f>
        <v>175805.5856319965</v>
      </c>
      <c r="V22" s="116">
        <f>366.1821*Dimensions!$D$22</f>
        <v>399558.2086806941</v>
      </c>
      <c r="X22" s="18">
        <f t="shared" si="3"/>
        <v>436813.5409853437</v>
      </c>
      <c r="Z22" s="12">
        <f t="shared" si="4"/>
        <v>705426.9063603978</v>
      </c>
      <c r="AA22" s="12">
        <f t="shared" si="5"/>
        <v>399558.2086806941</v>
      </c>
      <c r="AC22" s="12">
        <f>IF(Dimensions!$D$52="y",Dimensions!$D$53,J22+M22+N22+X22+Z22+AA22)</f>
        <v>2435617.4352750494</v>
      </c>
      <c r="AD22" s="12">
        <f t="shared" si="9"/>
        <v>44463979.71691876</v>
      </c>
      <c r="AE22" s="12"/>
      <c r="AF22" s="9">
        <f t="shared" si="0"/>
        <v>0.1061706320747728</v>
      </c>
      <c r="AH22" s="18">
        <f>Dimensions!$D$49</f>
        <v>269000000</v>
      </c>
      <c r="AI22" s="18">
        <f>Dimensions!$D$50*AJ22</f>
        <v>360000000</v>
      </c>
      <c r="AJ22" s="17">
        <v>1</v>
      </c>
      <c r="AK22" s="12">
        <f>IF(Dimensions!$D$63="y",Dimensions!$D$64,AH22+AI22)</f>
        <v>0</v>
      </c>
      <c r="AM22" s="105">
        <f>IF(Dimensions!$D$57="y",Dimensions!$D$58,Dimensions!$D$59-((Dimensions!$D$59-Dimensions!$D$60)/109)*(A22-1))</f>
        <v>205.63761467889907</v>
      </c>
      <c r="AN22" s="12">
        <f>LOOKUP(AM22,'Crush Energy'!$A$10:$A$509,'Crush Energy'!$G$10:$G$509)</f>
        <v>1827.1599023047788</v>
      </c>
      <c r="AO22" s="12">
        <f>IF(Dimensions!$D$57="y",Dimensions!$D$61,AN22*M22)</f>
        <v>795634323.7557073</v>
      </c>
      <c r="AP22" s="12">
        <f t="shared" si="10"/>
        <v>11344565822.92078</v>
      </c>
    </row>
    <row r="23" spans="1:42" ht="10.5">
      <c r="A23" s="5">
        <f t="shared" si="6"/>
        <v>16</v>
      </c>
      <c r="B23" s="5">
        <f t="shared" si="7"/>
        <v>101</v>
      </c>
      <c r="C23" s="5">
        <f t="shared" si="1"/>
        <v>95</v>
      </c>
      <c r="E23" s="5">
        <v>1</v>
      </c>
      <c r="F23" s="5">
        <v>1</v>
      </c>
      <c r="H23" s="9">
        <f t="shared" si="11"/>
        <v>46.833333333333336</v>
      </c>
      <c r="I23" s="98">
        <f t="shared" si="2"/>
        <v>0.34782608695652173</v>
      </c>
      <c r="J23" s="12">
        <f>Dimensions!$D$40*I23</f>
        <v>270526.0137922039</v>
      </c>
      <c r="K23" s="12">
        <f t="shared" si="8"/>
        <v>2896219.6770694773</v>
      </c>
      <c r="M23" s="12">
        <f>LOOKUP(C23,'Concrete Mass'!$B$8:$B$123,'Concrete Mass'!$H$8:$H$123)</f>
        <v>435448.656</v>
      </c>
      <c r="N23" s="12">
        <f>LOOKUP(C23,'Concrete Mass'!$B$8:$B$123,'Concrete Mass'!$O$8:$O$123)</f>
        <v>199779.08065312495</v>
      </c>
      <c r="O23" s="12"/>
      <c r="P23" s="116">
        <f>3.5*Dimensions!$C$105*Dimensions!$D$23</f>
        <v>49379.88344522785</v>
      </c>
      <c r="Q23" s="116">
        <f>15*Dimensions!$C$105*Dimensions!$D$23</f>
        <v>211628.07190811934</v>
      </c>
      <c r="R23" s="116">
        <f>50*Dimensions!$C$105*Dimensions!$D$23</f>
        <v>705426.9063603978</v>
      </c>
      <c r="S23" s="12"/>
      <c r="T23" s="12"/>
      <c r="U23" s="116">
        <f>161.1201*Dimensions!$D$22</f>
        <v>175805.5856319965</v>
      </c>
      <c r="V23" s="116">
        <f>366.1821*Dimensions!$D$22</f>
        <v>399558.2086806941</v>
      </c>
      <c r="X23" s="18">
        <f t="shared" si="3"/>
        <v>436813.5409853437</v>
      </c>
      <c r="Z23" s="12">
        <f t="shared" si="4"/>
        <v>705426.9063603978</v>
      </c>
      <c r="AA23" s="12">
        <f t="shared" si="5"/>
        <v>399558.2086806941</v>
      </c>
      <c r="AC23" s="12">
        <f>IF(Dimensions!$D$52="y",Dimensions!$D$53,J23+M23+N23+X23+Z23+AA23)</f>
        <v>2447552.4064717647</v>
      </c>
      <c r="AD23" s="12">
        <f t="shared" si="9"/>
        <v>46911532.123390526</v>
      </c>
      <c r="AE23" s="12"/>
      <c r="AF23" s="9">
        <f t="shared" si="0"/>
        <v>0.11052920177598033</v>
      </c>
      <c r="AH23" s="18">
        <f>Dimensions!$D$49</f>
        <v>269000000</v>
      </c>
      <c r="AI23" s="18">
        <f>Dimensions!$D$50*AJ23</f>
        <v>416842105.2631579</v>
      </c>
      <c r="AJ23" s="17">
        <f>1+(15/95)*(A23-15)</f>
        <v>1.1578947368421053</v>
      </c>
      <c r="AK23" s="12">
        <f>IF(Dimensions!$D$63="y",Dimensions!$D$64,AH23+AI23)</f>
        <v>0</v>
      </c>
      <c r="AM23" s="105">
        <f>IF(Dimensions!$D$57="y",Dimensions!$D$58,Dimensions!$D$59-((Dimensions!$D$59-Dimensions!$D$60)/109)*(A23-1))</f>
        <v>204.1045871559633</v>
      </c>
      <c r="AN23" s="12">
        <f>LOOKUP(AM23,'Crush Energy'!$A$10:$A$509,'Crush Energy'!$G$10:$G$509)</f>
        <v>1836.1165684925475</v>
      </c>
      <c r="AO23" s="12">
        <f>IF(Dimensions!$D$57="y",Dimensions!$D$61,AN23*M23)</f>
        <v>799534492.0094118</v>
      </c>
      <c r="AP23" s="12">
        <f t="shared" si="10"/>
        <v>12144100314.930191</v>
      </c>
    </row>
    <row r="24" spans="1:42" ht="10.5">
      <c r="A24" s="5">
        <f t="shared" si="6"/>
        <v>17</v>
      </c>
      <c r="B24" s="5">
        <f t="shared" si="7"/>
        <v>100</v>
      </c>
      <c r="C24" s="5">
        <f t="shared" si="1"/>
        <v>94</v>
      </c>
      <c r="E24" s="5">
        <v>1</v>
      </c>
      <c r="F24" s="5">
        <v>1</v>
      </c>
      <c r="H24" s="9">
        <f t="shared" si="11"/>
        <v>46.833333333333336</v>
      </c>
      <c r="I24" s="98">
        <f t="shared" si="2"/>
        <v>0.3631713554987212</v>
      </c>
      <c r="J24" s="12">
        <f>Dimensions!$D$40*I24</f>
        <v>282460.98498891876</v>
      </c>
      <c r="K24" s="12">
        <f t="shared" si="8"/>
        <v>3178680.6620583963</v>
      </c>
      <c r="M24" s="12">
        <f>LOOKUP(C24,'Concrete Mass'!$B$8:$B$123,'Concrete Mass'!$H$8:$H$123)</f>
        <v>435448.656</v>
      </c>
      <c r="N24" s="12">
        <f>LOOKUP(C24,'Concrete Mass'!$B$8:$B$123,'Concrete Mass'!$O$8:$O$123)</f>
        <v>199779.08065312495</v>
      </c>
      <c r="O24" s="12"/>
      <c r="P24" s="116">
        <f>3.5*Dimensions!$C$105*Dimensions!$D$23</f>
        <v>49379.88344522785</v>
      </c>
      <c r="Q24" s="116">
        <f>15*Dimensions!$C$105*Dimensions!$D$23</f>
        <v>211628.07190811934</v>
      </c>
      <c r="R24" s="116">
        <f>50*Dimensions!$C$105*Dimensions!$D$23</f>
        <v>705426.9063603978</v>
      </c>
      <c r="S24" s="12"/>
      <c r="T24" s="12"/>
      <c r="U24" s="116">
        <f>161.1201*Dimensions!$D$22</f>
        <v>175805.5856319965</v>
      </c>
      <c r="V24" s="116">
        <f>366.1821*Dimensions!$D$22</f>
        <v>399558.2086806941</v>
      </c>
      <c r="X24" s="18">
        <f t="shared" si="3"/>
        <v>436813.5409853437</v>
      </c>
      <c r="Z24" s="12">
        <f t="shared" si="4"/>
        <v>705426.9063603978</v>
      </c>
      <c r="AA24" s="12">
        <f t="shared" si="5"/>
        <v>399558.2086806941</v>
      </c>
      <c r="AC24" s="12">
        <f>IF(Dimensions!$D$52="y",Dimensions!$D$53,J24+M24+N24+X24+Z24+AA24)</f>
        <v>2459487.3776684795</v>
      </c>
      <c r="AD24" s="12">
        <f t="shared" si="9"/>
        <v>49371019.501059</v>
      </c>
      <c r="AE24" s="12"/>
      <c r="AF24" s="9">
        <f t="shared" si="0"/>
        <v>0.11484547046412709</v>
      </c>
      <c r="AH24" s="18">
        <f>Dimensions!$D$49</f>
        <v>269000000</v>
      </c>
      <c r="AI24" s="18">
        <f>Dimensions!$D$50*AJ24</f>
        <v>473684210.5263158</v>
      </c>
      <c r="AJ24" s="17">
        <f aca="true" t="shared" si="12" ref="AJ24:AJ87">1+(15/95)*(A24-15)</f>
        <v>1.3157894736842106</v>
      </c>
      <c r="AK24" s="12">
        <f>IF(Dimensions!$D$63="y",Dimensions!$D$64,AH24+AI24)</f>
        <v>0</v>
      </c>
      <c r="AM24" s="105">
        <f>IF(Dimensions!$D$57="y",Dimensions!$D$58,Dimensions!$D$59-((Dimensions!$D$59-Dimensions!$D$60)/109)*(A24-1))</f>
        <v>202.5715596330275</v>
      </c>
      <c r="AN24" s="12">
        <f>LOOKUP(AM24,'Crush Energy'!$A$10:$A$509,'Crush Energy'!$G$10:$G$509)</f>
        <v>1854.2959404578203</v>
      </c>
      <c r="AO24" s="12">
        <f>IF(Dimensions!$D$57="y",Dimensions!$D$61,AN24*M24)</f>
        <v>807450675.0986139</v>
      </c>
      <c r="AP24" s="12">
        <f t="shared" si="10"/>
        <v>12951550990.028805</v>
      </c>
    </row>
    <row r="25" spans="1:42" ht="10.5">
      <c r="A25" s="5">
        <f t="shared" si="6"/>
        <v>18</v>
      </c>
      <c r="B25" s="5">
        <f t="shared" si="7"/>
        <v>99</v>
      </c>
      <c r="C25" s="5">
        <f t="shared" si="1"/>
        <v>93</v>
      </c>
      <c r="E25" s="5">
        <v>1</v>
      </c>
      <c r="F25" s="5">
        <v>1</v>
      </c>
      <c r="H25" s="9">
        <f t="shared" si="11"/>
        <v>46.833333333333336</v>
      </c>
      <c r="I25" s="98">
        <f t="shared" si="2"/>
        <v>0.37851662404092073</v>
      </c>
      <c r="J25" s="12">
        <f>Dimensions!$D$40*I25</f>
        <v>294395.95618563367</v>
      </c>
      <c r="K25" s="12">
        <f t="shared" si="8"/>
        <v>3473076.61824403</v>
      </c>
      <c r="M25" s="12">
        <f>LOOKUP(C25,'Concrete Mass'!$B$8:$B$123,'Concrete Mass'!$H$8:$H$123)</f>
        <v>435448.656</v>
      </c>
      <c r="N25" s="12">
        <f>LOOKUP(C25,'Concrete Mass'!$B$8:$B$123,'Concrete Mass'!$O$8:$O$123)</f>
        <v>199779.08065312495</v>
      </c>
      <c r="O25" s="12"/>
      <c r="P25" s="116">
        <f>3.5*Dimensions!$C$105*Dimensions!$D$23</f>
        <v>49379.88344522785</v>
      </c>
      <c r="Q25" s="116">
        <f>15*Dimensions!$C$105*Dimensions!$D$23</f>
        <v>211628.07190811934</v>
      </c>
      <c r="R25" s="116">
        <f>50*Dimensions!$C$105*Dimensions!$D$23</f>
        <v>705426.9063603978</v>
      </c>
      <c r="S25" s="12"/>
      <c r="T25" s="12"/>
      <c r="U25" s="116">
        <f>161.1201*Dimensions!$D$22</f>
        <v>175805.5856319965</v>
      </c>
      <c r="V25" s="116">
        <f>366.1821*Dimensions!$D$22</f>
        <v>399558.2086806941</v>
      </c>
      <c r="X25" s="18">
        <f t="shared" si="3"/>
        <v>436813.5409853437</v>
      </c>
      <c r="Z25" s="12">
        <f t="shared" si="4"/>
        <v>705426.9063603978</v>
      </c>
      <c r="AA25" s="12">
        <f t="shared" si="5"/>
        <v>399558.2086806941</v>
      </c>
      <c r="AC25" s="12">
        <f>IF(Dimensions!$D$52="y",Dimensions!$D$53,J25+M25+N25+X25+Z25+AA25)</f>
        <v>2471422.3488651942</v>
      </c>
      <c r="AD25" s="12">
        <f t="shared" si="9"/>
        <v>51842441.8499242</v>
      </c>
      <c r="AE25" s="12"/>
      <c r="AF25" s="9">
        <f t="shared" si="0"/>
        <v>0.11912005097826027</v>
      </c>
      <c r="AH25" s="18">
        <f>Dimensions!$D$49</f>
        <v>269000000</v>
      </c>
      <c r="AI25" s="18">
        <f>Dimensions!$D$50*AJ25</f>
        <v>530526315.78947365</v>
      </c>
      <c r="AJ25" s="17">
        <f t="shared" si="12"/>
        <v>1.4736842105263157</v>
      </c>
      <c r="AK25" s="12">
        <f>IF(Dimensions!$D$63="y",Dimensions!$D$64,AH25+AI25)</f>
        <v>0</v>
      </c>
      <c r="AM25" s="105">
        <f>IF(Dimensions!$D$57="y",Dimensions!$D$58,Dimensions!$D$59-((Dimensions!$D$59-Dimensions!$D$60)/109)*(A25-1))</f>
        <v>201.03853211009175</v>
      </c>
      <c r="AN25" s="12">
        <f>LOOKUP(AM25,'Crush Energy'!$A$10:$A$509,'Crush Energy'!$G$10:$G$509)</f>
        <v>1863.521293395421</v>
      </c>
      <c r="AO25" s="12">
        <f>IF(Dimensions!$D$57="y",Dimensions!$D$61,AN25*M25)</f>
        <v>811467842.6364177</v>
      </c>
      <c r="AP25" s="12">
        <f t="shared" si="10"/>
        <v>13763018832.665222</v>
      </c>
    </row>
    <row r="26" spans="1:42" ht="10.5">
      <c r="A26" s="5">
        <f t="shared" si="6"/>
        <v>19</v>
      </c>
      <c r="B26" s="5">
        <f t="shared" si="7"/>
        <v>98</v>
      </c>
      <c r="C26" s="5">
        <f t="shared" si="1"/>
        <v>92</v>
      </c>
      <c r="E26" s="5">
        <v>2</v>
      </c>
      <c r="F26" s="5">
        <v>2</v>
      </c>
      <c r="H26" s="9">
        <f>$H$8+(($H$117-$H$8)/12)*2</f>
        <v>51.666666666666664</v>
      </c>
      <c r="I26" s="98">
        <f t="shared" si="2"/>
        <v>0.3938618925831202</v>
      </c>
      <c r="J26" s="12">
        <f>Dimensions!$D$40*I26</f>
        <v>306330.9273823485</v>
      </c>
      <c r="K26" s="12">
        <f t="shared" si="8"/>
        <v>3779407.5456263786</v>
      </c>
      <c r="M26" s="12">
        <f>LOOKUP(C26,'Concrete Mass'!$B$8:$B$123,'Concrete Mass'!$H$8:$H$123)</f>
        <v>435448.656</v>
      </c>
      <c r="N26" s="12">
        <f>LOOKUP(C26,'Concrete Mass'!$B$8:$B$123,'Concrete Mass'!$O$8:$O$123)</f>
        <v>199779.08065312495</v>
      </c>
      <c r="O26" s="12"/>
      <c r="P26" s="118">
        <f>17.0885*Dimensions!$D$23</f>
        <v>49379.88922454016</v>
      </c>
      <c r="Q26" s="118">
        <f>73.2364*Dimensions!$D$23</f>
        <v>211628.01411499624</v>
      </c>
      <c r="R26" s="118">
        <f>244.1214*Dimensions!$D$23</f>
        <v>705426.9063603978</v>
      </c>
      <c r="S26" s="12"/>
      <c r="T26" s="12"/>
      <c r="U26" s="118">
        <f>161.1201*Dimensions!$D$22</f>
        <v>175805.5856319965</v>
      </c>
      <c r="V26" s="118">
        <f>366.1821*Dimensions!$D$22</f>
        <v>399558.2086806941</v>
      </c>
      <c r="X26" s="18">
        <f t="shared" si="3"/>
        <v>436813.4889715329</v>
      </c>
      <c r="Z26" s="12">
        <f t="shared" si="4"/>
        <v>705426.9063603978</v>
      </c>
      <c r="AA26" s="12">
        <f t="shared" si="5"/>
        <v>399558.2086806941</v>
      </c>
      <c r="AC26" s="12">
        <f>IF(Dimensions!$D$52="y",Dimensions!$D$53,J26+M26+N26+X26+Z26+AA26)</f>
        <v>2483357.2680480983</v>
      </c>
      <c r="AD26" s="12">
        <f t="shared" si="9"/>
        <v>54325799.1179723</v>
      </c>
      <c r="AE26" s="12"/>
      <c r="AF26" s="9">
        <f t="shared" si="0"/>
        <v>0.12335354695988729</v>
      </c>
      <c r="AH26" s="18">
        <f>Dimensions!$D$49</f>
        <v>269000000</v>
      </c>
      <c r="AI26" s="18">
        <f>Dimensions!$D$50*AJ26</f>
        <v>587368421.0526316</v>
      </c>
      <c r="AJ26" s="17">
        <f t="shared" si="12"/>
        <v>1.631578947368421</v>
      </c>
      <c r="AK26" s="12">
        <f>IF(Dimensions!$D$63="y",Dimensions!$D$64,AH26+AI26)</f>
        <v>0</v>
      </c>
      <c r="AM26" s="105">
        <f>IF(Dimensions!$D$57="y",Dimensions!$D$58,Dimensions!$D$59-((Dimensions!$D$59-Dimensions!$D$60)/109)*(A26-1))</f>
        <v>199.50550458715597</v>
      </c>
      <c r="AN26" s="12">
        <f>LOOKUP(AM26,'Crush Energy'!$A$10:$A$509,'Crush Energy'!$G$10:$G$509)</f>
        <v>1882.2501506154754</v>
      </c>
      <c r="AO26" s="12">
        <f>IF(Dimensions!$D$57="y",Dimensions!$D$61,AN26*M26)</f>
        <v>819623298.3413063</v>
      </c>
      <c r="AP26" s="12">
        <f t="shared" si="10"/>
        <v>14582642131.006529</v>
      </c>
    </row>
    <row r="27" spans="1:42" ht="10.5">
      <c r="A27" s="5">
        <f t="shared" si="6"/>
        <v>20</v>
      </c>
      <c r="B27" s="5">
        <f t="shared" si="7"/>
        <v>97</v>
      </c>
      <c r="C27" s="5">
        <f t="shared" si="1"/>
        <v>91</v>
      </c>
      <c r="E27" s="5">
        <v>1</v>
      </c>
      <c r="F27" s="5">
        <v>1</v>
      </c>
      <c r="H27" s="9">
        <f>H26</f>
        <v>51.666666666666664</v>
      </c>
      <c r="I27" s="98">
        <f t="shared" si="2"/>
        <v>0.4092071611253197</v>
      </c>
      <c r="J27" s="12">
        <f>Dimensions!$D$40*I27</f>
        <v>318265.8985790634</v>
      </c>
      <c r="K27" s="12">
        <f t="shared" si="8"/>
        <v>4097673.444205442</v>
      </c>
      <c r="M27" s="12">
        <f>LOOKUP(C27,'Concrete Mass'!$B$8:$B$123,'Concrete Mass'!$H$8:$H$123)</f>
        <v>435448.656</v>
      </c>
      <c r="N27" s="12">
        <f>LOOKUP(C27,'Concrete Mass'!$B$8:$B$123,'Concrete Mass'!$O$8:$O$123)</f>
        <v>199779.08065312495</v>
      </c>
      <c r="O27" s="12"/>
      <c r="P27" s="116">
        <f>3.5*Dimensions!$C$105*Dimensions!$D$23</f>
        <v>49379.88344522785</v>
      </c>
      <c r="Q27" s="116">
        <f>15*Dimensions!$C$105*Dimensions!$D$23</f>
        <v>211628.07190811934</v>
      </c>
      <c r="R27" s="116">
        <f>50*Dimensions!$C$105*Dimensions!$D$23</f>
        <v>705426.9063603978</v>
      </c>
      <c r="S27" s="12"/>
      <c r="T27" s="12"/>
      <c r="U27" s="116">
        <f>161.1201*Dimensions!$D$22</f>
        <v>175805.5856319965</v>
      </c>
      <c r="V27" s="116">
        <f>366.1821*Dimensions!$D$22</f>
        <v>399558.2086806941</v>
      </c>
      <c r="X27" s="18">
        <f t="shared" si="3"/>
        <v>436813.5409853437</v>
      </c>
      <c r="Z27" s="12">
        <f t="shared" si="4"/>
        <v>705426.9063603978</v>
      </c>
      <c r="AA27" s="12">
        <f t="shared" si="5"/>
        <v>399558.2086806941</v>
      </c>
      <c r="AC27" s="12">
        <f>IF(Dimensions!$D$52="y",Dimensions!$D$53,J27+M27+N27+X27+Z27+AA27)</f>
        <v>2495292.291258624</v>
      </c>
      <c r="AD27" s="12">
        <f t="shared" si="9"/>
        <v>56821091.409230925</v>
      </c>
      <c r="AE27" s="12"/>
      <c r="AF27" s="9">
        <f t="shared" si="0"/>
        <v>0.12754654021654926</v>
      </c>
      <c r="AH27" s="18">
        <f>Dimensions!$D$49</f>
        <v>269000000</v>
      </c>
      <c r="AI27" s="18">
        <f>Dimensions!$D$50*AJ27</f>
        <v>644210526.3157895</v>
      </c>
      <c r="AJ27" s="17">
        <f t="shared" si="12"/>
        <v>1.7894736842105263</v>
      </c>
      <c r="AK27" s="12">
        <f>IF(Dimensions!$D$63="y",Dimensions!$D$64,AH27+AI27)</f>
        <v>0</v>
      </c>
      <c r="AM27" s="105">
        <f>IF(Dimensions!$D$57="y",Dimensions!$D$58,Dimensions!$D$59-((Dimensions!$D$59-Dimensions!$D$60)/109)*(A27-1))</f>
        <v>197.9724770642202</v>
      </c>
      <c r="AN27" s="12">
        <f>LOOKUP(AM27,'Crush Energy'!$A$10:$A$509,'Crush Energy'!$G$10:$G$509)</f>
        <v>1901.3592892004049</v>
      </c>
      <c r="AO27" s="12">
        <f>IF(Dimensions!$D$57="y",Dimensions!$D$61,AN27*M27)</f>
        <v>827944347.0554316</v>
      </c>
      <c r="AP27" s="12">
        <f t="shared" si="10"/>
        <v>15410586478.06196</v>
      </c>
    </row>
    <row r="28" spans="1:42" ht="10.5">
      <c r="A28" s="5">
        <f t="shared" si="6"/>
        <v>21</v>
      </c>
      <c r="B28" s="5">
        <f t="shared" si="7"/>
        <v>96</v>
      </c>
      <c r="C28" s="5">
        <f t="shared" si="1"/>
        <v>90</v>
      </c>
      <c r="E28" s="5">
        <v>1</v>
      </c>
      <c r="F28" s="5">
        <v>1</v>
      </c>
      <c r="H28" s="9">
        <f aca="true" t="shared" si="13" ref="H28:H34">H27</f>
        <v>51.666666666666664</v>
      </c>
      <c r="I28" s="98">
        <f t="shared" si="2"/>
        <v>0.42455242966751916</v>
      </c>
      <c r="J28" s="12">
        <f>Dimensions!$D$40*I28</f>
        <v>330200.86977577826</v>
      </c>
      <c r="K28" s="12">
        <f t="shared" si="8"/>
        <v>4427874.31398122</v>
      </c>
      <c r="M28" s="12">
        <f>LOOKUP(C28,'Concrete Mass'!$B$8:$B$123,'Concrete Mass'!$H$8:$H$123)</f>
        <v>435448.656</v>
      </c>
      <c r="N28" s="12">
        <f>LOOKUP(C28,'Concrete Mass'!$B$8:$B$123,'Concrete Mass'!$O$8:$O$123)</f>
        <v>199779.08065312495</v>
      </c>
      <c r="O28" s="12"/>
      <c r="P28" s="116">
        <f>3.5*Dimensions!$C$105*Dimensions!$D$23</f>
        <v>49379.88344522785</v>
      </c>
      <c r="Q28" s="116">
        <f>15*Dimensions!$C$105*Dimensions!$D$23</f>
        <v>211628.07190811934</v>
      </c>
      <c r="R28" s="116">
        <f>50*Dimensions!$C$105*Dimensions!$D$23</f>
        <v>705426.9063603978</v>
      </c>
      <c r="S28" s="12"/>
      <c r="T28" s="12"/>
      <c r="U28" s="116">
        <f>161.1201*Dimensions!$D$22</f>
        <v>175805.5856319965</v>
      </c>
      <c r="V28" s="116">
        <f>366.1821*Dimensions!$D$22</f>
        <v>399558.2086806941</v>
      </c>
      <c r="X28" s="18">
        <f t="shared" si="3"/>
        <v>436813.5409853437</v>
      </c>
      <c r="Z28" s="12">
        <f t="shared" si="4"/>
        <v>705426.9063603978</v>
      </c>
      <c r="AA28" s="12">
        <f t="shared" si="5"/>
        <v>399558.2086806941</v>
      </c>
      <c r="AC28" s="12">
        <f>IF(Dimensions!$D$52="y",Dimensions!$D$53,J28+M28+N28+X28+Z28+AA28)</f>
        <v>2507227.2624553386</v>
      </c>
      <c r="AD28" s="12">
        <f t="shared" si="9"/>
        <v>59328318.67168626</v>
      </c>
      <c r="AE28" s="12"/>
      <c r="AF28" s="9">
        <f t="shared" si="0"/>
        <v>0.13169961683186673</v>
      </c>
      <c r="AH28" s="18">
        <f>Dimensions!$D$49</f>
        <v>269000000</v>
      </c>
      <c r="AI28" s="18">
        <f>Dimensions!$D$50*AJ28</f>
        <v>701052631.5789473</v>
      </c>
      <c r="AJ28" s="17">
        <f t="shared" si="12"/>
        <v>1.9473684210526314</v>
      </c>
      <c r="AK28" s="12">
        <f>IF(Dimensions!$D$63="y",Dimensions!$D$64,AH28+AI28)</f>
        <v>0</v>
      </c>
      <c r="AM28" s="105">
        <f>IF(Dimensions!$D$57="y",Dimensions!$D$58,Dimensions!$D$59-((Dimensions!$D$59-Dimensions!$D$60)/109)*(A28-1))</f>
        <v>196.4394495412844</v>
      </c>
      <c r="AN28" s="12">
        <f>LOOKUP(AM28,'Crush Energy'!$A$10:$A$509,'Crush Energy'!$G$10:$G$509)</f>
        <v>1911.0601019004068</v>
      </c>
      <c r="AO28" s="12">
        <f>IF(Dimensions!$D$57="y",Dimensions!$D$61,AN28*M28)</f>
        <v>832168552.9077553</v>
      </c>
      <c r="AP28" s="12">
        <f t="shared" si="10"/>
        <v>16242755030.969715</v>
      </c>
    </row>
    <row r="29" spans="1:42" ht="10.5">
      <c r="A29" s="5">
        <f t="shared" si="6"/>
        <v>22</v>
      </c>
      <c r="B29" s="5">
        <f t="shared" si="7"/>
        <v>95</v>
      </c>
      <c r="C29" s="5">
        <f t="shared" si="1"/>
        <v>89</v>
      </c>
      <c r="E29" s="5">
        <v>1</v>
      </c>
      <c r="F29" s="5">
        <v>1</v>
      </c>
      <c r="H29" s="9">
        <f t="shared" si="13"/>
        <v>51.666666666666664</v>
      </c>
      <c r="I29" s="98">
        <f t="shared" si="2"/>
        <v>0.4398976982097187</v>
      </c>
      <c r="J29" s="12">
        <f>Dimensions!$D$40*I29</f>
        <v>342135.84097249317</v>
      </c>
      <c r="K29" s="12">
        <f t="shared" si="8"/>
        <v>4770010.1549537135</v>
      </c>
      <c r="M29" s="12">
        <f>LOOKUP(C29,'Concrete Mass'!$B$8:$B$123,'Concrete Mass'!$H$8:$H$123)</f>
        <v>435448.656</v>
      </c>
      <c r="N29" s="12">
        <f>LOOKUP(C29,'Concrete Mass'!$B$8:$B$123,'Concrete Mass'!$O$8:$O$123)</f>
        <v>199779.08065312495</v>
      </c>
      <c r="O29" s="12"/>
      <c r="P29" s="116">
        <f>3.5*Dimensions!$C$105*Dimensions!$D$23</f>
        <v>49379.88344522785</v>
      </c>
      <c r="Q29" s="116">
        <f>15*Dimensions!$C$105*Dimensions!$D$23</f>
        <v>211628.07190811934</v>
      </c>
      <c r="R29" s="116">
        <f>50*Dimensions!$C$105*Dimensions!$D$23</f>
        <v>705426.9063603978</v>
      </c>
      <c r="S29" s="12"/>
      <c r="T29" s="12"/>
      <c r="U29" s="116">
        <f>161.1201*Dimensions!$D$22</f>
        <v>175805.5856319965</v>
      </c>
      <c r="V29" s="116">
        <f>366.1821*Dimensions!$D$22</f>
        <v>399558.2086806941</v>
      </c>
      <c r="X29" s="18">
        <f t="shared" si="3"/>
        <v>436813.5409853437</v>
      </c>
      <c r="Z29" s="12">
        <f t="shared" si="4"/>
        <v>705426.9063603978</v>
      </c>
      <c r="AA29" s="12">
        <f t="shared" si="5"/>
        <v>399558.2086806941</v>
      </c>
      <c r="AC29" s="12">
        <f>IF(Dimensions!$D$52="y",Dimensions!$D$53,J29+M29+N29+X29+Z29+AA29)</f>
        <v>2519162.2336520534</v>
      </c>
      <c r="AD29" s="12">
        <f t="shared" si="9"/>
        <v>61847480.90533832</v>
      </c>
      <c r="AE29" s="12"/>
      <c r="AF29" s="9">
        <f t="shared" si="0"/>
        <v>0.1358133415951126</v>
      </c>
      <c r="AH29" s="18">
        <f>Dimensions!$D$49</f>
        <v>269000000</v>
      </c>
      <c r="AI29" s="18">
        <f>Dimensions!$D$50*AJ29</f>
        <v>757894736.8421053</v>
      </c>
      <c r="AJ29" s="17">
        <f t="shared" si="12"/>
        <v>2.1052631578947367</v>
      </c>
      <c r="AK29" s="12">
        <f>IF(Dimensions!$D$63="y",Dimensions!$D$64,AH29+AI29)</f>
        <v>0</v>
      </c>
      <c r="AM29" s="105">
        <f>IF(Dimensions!$D$57="y",Dimensions!$D$58,Dimensions!$D$59-((Dimensions!$D$59-Dimensions!$D$60)/109)*(A29-1))</f>
        <v>194.90642201834862</v>
      </c>
      <c r="AN29" s="12">
        <f>LOOKUP(AM29,'Crush Energy'!$A$10:$A$509,'Crush Energy'!$G$10:$G$509)</f>
        <v>1930.7617524354625</v>
      </c>
      <c r="AO29" s="12">
        <f>IF(Dimensions!$D$57="y",Dimensions!$D$61,AN29*M29)</f>
        <v>840747610.1542269</v>
      </c>
      <c r="AP29" s="12">
        <f t="shared" si="10"/>
        <v>17083502641.123941</v>
      </c>
    </row>
    <row r="30" spans="1:42" ht="10.5">
      <c r="A30" s="5">
        <f t="shared" si="6"/>
        <v>23</v>
      </c>
      <c r="B30" s="5">
        <f t="shared" si="7"/>
        <v>94</v>
      </c>
      <c r="C30" s="5">
        <f t="shared" si="1"/>
        <v>88</v>
      </c>
      <c r="E30" s="5">
        <v>1</v>
      </c>
      <c r="F30" s="5">
        <v>1</v>
      </c>
      <c r="H30" s="9">
        <f t="shared" si="13"/>
        <v>51.666666666666664</v>
      </c>
      <c r="I30" s="98">
        <f t="shared" si="2"/>
        <v>0.45524296675191817</v>
      </c>
      <c r="J30" s="12">
        <f>Dimensions!$D$40*I30</f>
        <v>354070.8121692081</v>
      </c>
      <c r="K30" s="12">
        <f t="shared" si="8"/>
        <v>5124080.967122922</v>
      </c>
      <c r="M30" s="12">
        <f>LOOKUP(C30,'Concrete Mass'!$B$8:$B$123,'Concrete Mass'!$H$8:$H$123)</f>
        <v>435448.656</v>
      </c>
      <c r="N30" s="12">
        <f>LOOKUP(C30,'Concrete Mass'!$B$8:$B$123,'Concrete Mass'!$O$8:$O$123)</f>
        <v>199779.08065312495</v>
      </c>
      <c r="O30" s="12"/>
      <c r="P30" s="116">
        <f>3.5*Dimensions!$C$105*Dimensions!$D$23</f>
        <v>49379.88344522785</v>
      </c>
      <c r="Q30" s="116">
        <f>15*Dimensions!$C$105*Dimensions!$D$23</f>
        <v>211628.07190811934</v>
      </c>
      <c r="R30" s="116">
        <f>50*Dimensions!$C$105*Dimensions!$D$23</f>
        <v>705426.9063603978</v>
      </c>
      <c r="S30" s="12"/>
      <c r="T30" s="12"/>
      <c r="U30" s="116">
        <f>161.1201*Dimensions!$D$22</f>
        <v>175805.5856319965</v>
      </c>
      <c r="V30" s="116">
        <f>366.1821*Dimensions!$D$22</f>
        <v>399558.2086806941</v>
      </c>
      <c r="X30" s="18">
        <f t="shared" si="3"/>
        <v>436813.5409853437</v>
      </c>
      <c r="Z30" s="12">
        <f t="shared" si="4"/>
        <v>705426.9063603978</v>
      </c>
      <c r="AA30" s="12">
        <f t="shared" si="5"/>
        <v>399558.2086806941</v>
      </c>
      <c r="AC30" s="12">
        <f>IF(Dimensions!$D$52="y",Dimensions!$D$53,J30+M30+N30+X30+Z30+AA30)</f>
        <v>2531097.2048487687</v>
      </c>
      <c r="AD30" s="12">
        <f t="shared" si="9"/>
        <v>64378578.11018708</v>
      </c>
      <c r="AE30" s="12"/>
      <c r="AF30" s="9">
        <f t="shared" si="0"/>
        <v>0.13988827117778102</v>
      </c>
      <c r="AH30" s="18">
        <f>Dimensions!$D$49</f>
        <v>269000000</v>
      </c>
      <c r="AI30" s="18">
        <f>Dimensions!$D$50*AJ30</f>
        <v>814736842.1052631</v>
      </c>
      <c r="AJ30" s="17">
        <f t="shared" si="12"/>
        <v>2.263157894736842</v>
      </c>
      <c r="AK30" s="12">
        <f>IF(Dimensions!$D$63="y",Dimensions!$D$64,AH30+AI30)</f>
        <v>0</v>
      </c>
      <c r="AM30" s="105">
        <f>IF(Dimensions!$D$57="y",Dimensions!$D$58,Dimensions!$D$59-((Dimensions!$D$59-Dimensions!$D$60)/109)*(A30-1))</f>
        <v>193.37339449541284</v>
      </c>
      <c r="AN30" s="12">
        <f>LOOKUP(AM30,'Crush Energy'!$A$10:$A$509,'Crush Energy'!$G$10:$G$509)</f>
        <v>1940.7656993392732</v>
      </c>
      <c r="AO30" s="12">
        <f>IF(Dimensions!$D$57="y",Dimensions!$D$61,AN30*M30)</f>
        <v>845103815.3881866</v>
      </c>
      <c r="AP30" s="12">
        <f t="shared" si="10"/>
        <v>17928606456.512127</v>
      </c>
    </row>
    <row r="31" spans="1:42" ht="10.5">
      <c r="A31" s="5">
        <f t="shared" si="6"/>
        <v>24</v>
      </c>
      <c r="B31" s="5">
        <f t="shared" si="7"/>
        <v>93</v>
      </c>
      <c r="C31" s="5">
        <f t="shared" si="1"/>
        <v>87</v>
      </c>
      <c r="E31" s="5">
        <v>1</v>
      </c>
      <c r="F31" s="5">
        <v>1</v>
      </c>
      <c r="H31" s="9">
        <f t="shared" si="13"/>
        <v>51.666666666666664</v>
      </c>
      <c r="I31" s="98">
        <f t="shared" si="2"/>
        <v>0.47058823529411764</v>
      </c>
      <c r="J31" s="12">
        <f>Dimensions!$D$40*I31</f>
        <v>366005.7833659229</v>
      </c>
      <c r="K31" s="12">
        <f t="shared" si="8"/>
        <v>5490086.750488845</v>
      </c>
      <c r="M31" s="12">
        <f>LOOKUP(C31,'Concrete Mass'!$B$8:$B$123,'Concrete Mass'!$H$8:$H$123)</f>
        <v>435448.656</v>
      </c>
      <c r="N31" s="12">
        <f>LOOKUP(C31,'Concrete Mass'!$B$8:$B$123,'Concrete Mass'!$O$8:$O$123)</f>
        <v>199779.08065312495</v>
      </c>
      <c r="O31" s="12"/>
      <c r="P31" s="116">
        <f>3.5*Dimensions!$C$105*Dimensions!$D$23</f>
        <v>49379.88344522785</v>
      </c>
      <c r="Q31" s="116">
        <f>15*Dimensions!$C$105*Dimensions!$D$23</f>
        <v>211628.07190811934</v>
      </c>
      <c r="R31" s="116">
        <f>50*Dimensions!$C$105*Dimensions!$D$23</f>
        <v>705426.9063603978</v>
      </c>
      <c r="S31" s="12"/>
      <c r="T31" s="12"/>
      <c r="U31" s="116">
        <f>161.1201*Dimensions!$D$22</f>
        <v>175805.5856319965</v>
      </c>
      <c r="V31" s="116">
        <f>366.1821*Dimensions!$D$22</f>
        <v>399558.2086806941</v>
      </c>
      <c r="X31" s="18">
        <f t="shared" si="3"/>
        <v>436813.5409853437</v>
      </c>
      <c r="Z31" s="12">
        <f t="shared" si="4"/>
        <v>705426.9063603978</v>
      </c>
      <c r="AA31" s="12">
        <f t="shared" si="5"/>
        <v>399558.2086806941</v>
      </c>
      <c r="AC31" s="12">
        <f>IF(Dimensions!$D$52="y",Dimensions!$D$53,J31+M31+N31+X31+Z31+AA31)</f>
        <v>2543032.1760454834</v>
      </c>
      <c r="AD31" s="12">
        <f t="shared" si="9"/>
        <v>66921610.28623257</v>
      </c>
      <c r="AE31" s="12"/>
      <c r="AF31" s="9">
        <f t="shared" si="0"/>
        <v>0.1439249518010726</v>
      </c>
      <c r="AH31" s="18">
        <f>Dimensions!$D$49</f>
        <v>269000000</v>
      </c>
      <c r="AI31" s="18">
        <f>Dimensions!$D$50*AJ31</f>
        <v>871578947.3684211</v>
      </c>
      <c r="AJ31" s="17">
        <f t="shared" si="12"/>
        <v>2.4210526315789473</v>
      </c>
      <c r="AK31" s="12">
        <f>IF(Dimensions!$D$63="y",Dimensions!$D$64,AH31+AI31)</f>
        <v>0</v>
      </c>
      <c r="AM31" s="105">
        <f>IF(Dimensions!$D$57="y",Dimensions!$D$58,Dimensions!$D$59-((Dimensions!$D$59-Dimensions!$D$60)/109)*(A31-1))</f>
        <v>191.84036697247706</v>
      </c>
      <c r="AN31" s="12">
        <f>LOOKUP(AM31,'Crush Energy'!$A$10:$A$509,'Crush Energy'!$G$10:$G$509)</f>
        <v>1961.0878532590561</v>
      </c>
      <c r="AO31" s="12">
        <f>IF(Dimensions!$D$57="y",Dimensions!$D$61,AN31*M31)</f>
        <v>853953069.9995812</v>
      </c>
      <c r="AP31" s="12">
        <f t="shared" si="10"/>
        <v>18782559526.511707</v>
      </c>
    </row>
    <row r="32" spans="1:42" ht="10.5">
      <c r="A32" s="5">
        <f t="shared" si="6"/>
        <v>25</v>
      </c>
      <c r="B32" s="5">
        <f t="shared" si="7"/>
        <v>92</v>
      </c>
      <c r="C32" s="5">
        <f t="shared" si="1"/>
        <v>86</v>
      </c>
      <c r="E32" s="5">
        <v>1</v>
      </c>
      <c r="F32" s="5">
        <v>1</v>
      </c>
      <c r="H32" s="9">
        <f t="shared" si="13"/>
        <v>51.666666666666664</v>
      </c>
      <c r="I32" s="98">
        <f t="shared" si="2"/>
        <v>0.4859335038363171</v>
      </c>
      <c r="J32" s="12">
        <f>Dimensions!$D$40*I32</f>
        <v>377940.75456263777</v>
      </c>
      <c r="K32" s="12">
        <f t="shared" si="8"/>
        <v>5868027.5050514825</v>
      </c>
      <c r="M32" s="12">
        <f>LOOKUP(C32,'Concrete Mass'!$B$8:$B$123,'Concrete Mass'!$H$8:$H$123)</f>
        <v>435448.656</v>
      </c>
      <c r="N32" s="12">
        <f>LOOKUP(C32,'Concrete Mass'!$B$8:$B$123,'Concrete Mass'!$O$8:$O$123)</f>
        <v>199779.08065312495</v>
      </c>
      <c r="O32" s="12"/>
      <c r="P32" s="116">
        <f>3.5*Dimensions!$C$105*Dimensions!$D$23</f>
        <v>49379.88344522785</v>
      </c>
      <c r="Q32" s="116">
        <f>15*Dimensions!$C$105*Dimensions!$D$23</f>
        <v>211628.07190811934</v>
      </c>
      <c r="R32" s="116">
        <f>50*Dimensions!$C$105*Dimensions!$D$23</f>
        <v>705426.9063603978</v>
      </c>
      <c r="S32" s="12"/>
      <c r="T32" s="12"/>
      <c r="U32" s="116">
        <f>161.1201*Dimensions!$D$22</f>
        <v>175805.5856319965</v>
      </c>
      <c r="V32" s="116">
        <f>366.1821*Dimensions!$D$22</f>
        <v>399558.2086806941</v>
      </c>
      <c r="X32" s="18">
        <f t="shared" si="3"/>
        <v>436813.5409853437</v>
      </c>
      <c r="Z32" s="12">
        <f t="shared" si="4"/>
        <v>705426.9063603978</v>
      </c>
      <c r="AA32" s="12">
        <f t="shared" si="5"/>
        <v>399558.2086806941</v>
      </c>
      <c r="AC32" s="12">
        <f>IF(Dimensions!$D$52="y",Dimensions!$D$53,J32+M32+N32+X32+Z32+AA32)</f>
        <v>2554967.147242198</v>
      </c>
      <c r="AD32" s="12">
        <f t="shared" si="9"/>
        <v>69476577.43347476</v>
      </c>
      <c r="AE32" s="12"/>
      <c r="AF32" s="9">
        <f t="shared" si="0"/>
        <v>0.14792391947997555</v>
      </c>
      <c r="AH32" s="18">
        <f>Dimensions!$D$49</f>
        <v>269000000</v>
      </c>
      <c r="AI32" s="18">
        <f>Dimensions!$D$50*AJ32</f>
        <v>928421052.6315789</v>
      </c>
      <c r="AJ32" s="17">
        <f t="shared" si="12"/>
        <v>2.5789473684210527</v>
      </c>
      <c r="AK32" s="12">
        <f>IF(Dimensions!$D$63="y",Dimensions!$D$64,AH32+AI32)</f>
        <v>0</v>
      </c>
      <c r="AM32" s="105">
        <f>IF(Dimensions!$D$57="y",Dimensions!$D$58,Dimensions!$D$59-((Dimensions!$D$59-Dimensions!$D$60)/109)*(A32-1))</f>
        <v>190.30733944954127</v>
      </c>
      <c r="AN32" s="12">
        <f>LOOKUP(AM32,'Crush Energy'!$A$10:$A$509,'Crush Energy'!$G$10:$G$509)</f>
        <v>1971.409368276209</v>
      </c>
      <c r="AO32" s="12">
        <f>IF(Dimensions!$D$57="y",Dimensions!$D$61,AN32*M32)</f>
        <v>858447559.8416843</v>
      </c>
      <c r="AP32" s="12">
        <f t="shared" si="10"/>
        <v>19641007086.353394</v>
      </c>
    </row>
    <row r="33" spans="1:42" ht="10.5">
      <c r="A33" s="5">
        <f t="shared" si="6"/>
        <v>26</v>
      </c>
      <c r="B33" s="5">
        <f t="shared" si="7"/>
        <v>91</v>
      </c>
      <c r="C33" s="5">
        <f t="shared" si="1"/>
        <v>85</v>
      </c>
      <c r="E33" s="5">
        <v>1</v>
      </c>
      <c r="F33" s="5">
        <v>1</v>
      </c>
      <c r="H33" s="9">
        <f t="shared" si="13"/>
        <v>51.666666666666664</v>
      </c>
      <c r="I33" s="98">
        <f t="shared" si="2"/>
        <v>0.5012787723785166</v>
      </c>
      <c r="J33" s="12">
        <f>Dimensions!$D$40*I33</f>
        <v>389875.7257593527</v>
      </c>
      <c r="K33" s="12">
        <f t="shared" si="8"/>
        <v>6257903.230810835</v>
      </c>
      <c r="M33" s="12">
        <f>LOOKUP(C33,'Concrete Mass'!$B$8:$B$123,'Concrete Mass'!$H$8:$H$123)</f>
        <v>435448.656</v>
      </c>
      <c r="N33" s="12">
        <f>LOOKUP(C33,'Concrete Mass'!$B$8:$B$123,'Concrete Mass'!$O$8:$O$123)</f>
        <v>199779.08065312495</v>
      </c>
      <c r="O33" s="12"/>
      <c r="P33" s="116">
        <f>3.5*Dimensions!$C$105*Dimensions!$D$23</f>
        <v>49379.88344522785</v>
      </c>
      <c r="Q33" s="116">
        <f>15*Dimensions!$C$105*Dimensions!$D$23</f>
        <v>211628.07190811934</v>
      </c>
      <c r="R33" s="116">
        <f>50*Dimensions!$C$105*Dimensions!$D$23</f>
        <v>705426.9063603978</v>
      </c>
      <c r="S33" s="12"/>
      <c r="T33" s="12"/>
      <c r="U33" s="116">
        <f>161.1201*Dimensions!$D$22</f>
        <v>175805.5856319965</v>
      </c>
      <c r="V33" s="116">
        <f>366.1821*Dimensions!$D$22</f>
        <v>399558.2086806941</v>
      </c>
      <c r="X33" s="18">
        <f t="shared" si="3"/>
        <v>436813.5409853437</v>
      </c>
      <c r="Z33" s="12">
        <f t="shared" si="4"/>
        <v>705426.9063603978</v>
      </c>
      <c r="AA33" s="12">
        <f t="shared" si="5"/>
        <v>399558.2086806941</v>
      </c>
      <c r="AC33" s="12">
        <f>IF(Dimensions!$D$52="y",Dimensions!$D$53,J33+M33+N33+X33+Z33+AA33)</f>
        <v>2566902.1184389135</v>
      </c>
      <c r="AD33" s="12">
        <f t="shared" si="9"/>
        <v>72043479.55191368</v>
      </c>
      <c r="AE33" s="12"/>
      <c r="AF33" s="9">
        <f t="shared" si="0"/>
        <v>0.15188570026053794</v>
      </c>
      <c r="AH33" s="18">
        <f>Dimensions!$D$49</f>
        <v>269000000</v>
      </c>
      <c r="AI33" s="18">
        <f>Dimensions!$D$50*AJ33</f>
        <v>985263157.8947368</v>
      </c>
      <c r="AJ33" s="17">
        <f t="shared" si="12"/>
        <v>2.7368421052631575</v>
      </c>
      <c r="AK33" s="12">
        <f>IF(Dimensions!$D$63="y",Dimensions!$D$64,AH33+AI33)</f>
        <v>0</v>
      </c>
      <c r="AM33" s="105">
        <f>IF(Dimensions!$D$57="y",Dimensions!$D$58,Dimensions!$D$59-((Dimensions!$D$59-Dimensions!$D$60)/109)*(A33-1))</f>
        <v>188.7743119266055</v>
      </c>
      <c r="AN33" s="12">
        <f>LOOKUP(AM33,'Crush Energy'!$A$10:$A$509,'Crush Energy'!$G$10:$G$509)</f>
        <v>1992.3818083642534</v>
      </c>
      <c r="AO33" s="12">
        <f>IF(Dimensions!$D$57="y",Dimensions!$D$61,AN33*M33)</f>
        <v>867579980.6910638</v>
      </c>
      <c r="AP33" s="12">
        <f t="shared" si="10"/>
        <v>20508587067.044456</v>
      </c>
    </row>
    <row r="34" spans="1:42" ht="10.5">
      <c r="A34" s="5">
        <f t="shared" si="6"/>
        <v>27</v>
      </c>
      <c r="B34" s="5">
        <f t="shared" si="7"/>
        <v>90</v>
      </c>
      <c r="C34" s="5">
        <f t="shared" si="1"/>
        <v>84</v>
      </c>
      <c r="E34" s="5">
        <v>1</v>
      </c>
      <c r="F34" s="5">
        <v>1</v>
      </c>
      <c r="H34" s="9">
        <f t="shared" si="13"/>
        <v>51.666666666666664</v>
      </c>
      <c r="I34" s="98">
        <f t="shared" si="2"/>
        <v>0.5166240409207161</v>
      </c>
      <c r="J34" s="12">
        <f>Dimensions!$D$40*I34</f>
        <v>401810.6969560676</v>
      </c>
      <c r="K34" s="12">
        <f t="shared" si="8"/>
        <v>6659713.927766902</v>
      </c>
      <c r="M34" s="12">
        <f>LOOKUP(C34,'Concrete Mass'!$B$8:$B$123,'Concrete Mass'!$H$8:$H$123)</f>
        <v>435448.656</v>
      </c>
      <c r="N34" s="12">
        <f>LOOKUP(C34,'Concrete Mass'!$B$8:$B$123,'Concrete Mass'!$O$8:$O$123)</f>
        <v>199779.08065312495</v>
      </c>
      <c r="O34" s="12"/>
      <c r="P34" s="116">
        <f>3.5*Dimensions!$C$105*Dimensions!$D$23</f>
        <v>49379.88344522785</v>
      </c>
      <c r="Q34" s="116">
        <f>15*Dimensions!$C$105*Dimensions!$D$23</f>
        <v>211628.07190811934</v>
      </c>
      <c r="R34" s="116">
        <f>50*Dimensions!$C$105*Dimensions!$D$23</f>
        <v>705426.9063603978</v>
      </c>
      <c r="S34" s="12"/>
      <c r="T34" s="12"/>
      <c r="U34" s="116">
        <f>161.1201*Dimensions!$D$22</f>
        <v>175805.5856319965</v>
      </c>
      <c r="V34" s="116">
        <f>366.1821*Dimensions!$D$22</f>
        <v>399558.2086806941</v>
      </c>
      <c r="X34" s="18">
        <f t="shared" si="3"/>
        <v>436813.5409853437</v>
      </c>
      <c r="Z34" s="12">
        <f t="shared" si="4"/>
        <v>705426.9063603978</v>
      </c>
      <c r="AA34" s="12">
        <f t="shared" si="5"/>
        <v>399558.2086806941</v>
      </c>
      <c r="AC34" s="12">
        <f>IF(Dimensions!$D$52="y",Dimensions!$D$53,J34+M34+N34+X34+Z34+AA34)</f>
        <v>2578837.0896356283</v>
      </c>
      <c r="AD34" s="12">
        <f t="shared" si="9"/>
        <v>74622316.6415493</v>
      </c>
      <c r="AE34" s="12"/>
      <c r="AF34" s="9">
        <f t="shared" si="0"/>
        <v>0.15581081045055103</v>
      </c>
      <c r="AH34" s="18">
        <f>Dimensions!$D$49</f>
        <v>269000000</v>
      </c>
      <c r="AI34" s="18">
        <f>Dimensions!$D$50*AJ34</f>
        <v>1042105263.1578946</v>
      </c>
      <c r="AJ34" s="17">
        <f t="shared" si="12"/>
        <v>2.894736842105263</v>
      </c>
      <c r="AK34" s="12">
        <f>IF(Dimensions!$D$63="y",Dimensions!$D$64,AH34+AI34)</f>
        <v>0</v>
      </c>
      <c r="AM34" s="105">
        <f>IF(Dimensions!$D$57="y",Dimensions!$D$58,Dimensions!$D$59-((Dimensions!$D$59-Dimensions!$D$60)/109)*(A34-1))</f>
        <v>187.24128440366974</v>
      </c>
      <c r="AN34" s="12">
        <f>LOOKUP(AM34,'Crush Energy'!$A$10:$A$509,'Crush Energy'!$G$10:$G$509)</f>
        <v>2003.0362565373246</v>
      </c>
      <c r="AO34" s="12">
        <f>IF(Dimensions!$D$57="y",Dimensions!$D$61,AN34*M34)</f>
        <v>872219445.8284492</v>
      </c>
      <c r="AP34" s="12">
        <f t="shared" si="10"/>
        <v>21380806512.872906</v>
      </c>
    </row>
    <row r="35" spans="1:42" ht="10.5">
      <c r="A35" s="5">
        <f t="shared" si="6"/>
        <v>28</v>
      </c>
      <c r="B35" s="5">
        <f t="shared" si="7"/>
        <v>89</v>
      </c>
      <c r="C35" s="5">
        <f t="shared" si="1"/>
        <v>83</v>
      </c>
      <c r="E35" s="5">
        <v>9</v>
      </c>
      <c r="F35" s="5">
        <v>9</v>
      </c>
      <c r="H35" s="9">
        <f>$H$8+(($H$117-$H$8)/12)*3</f>
        <v>56.5</v>
      </c>
      <c r="I35" s="98">
        <f t="shared" si="2"/>
        <v>0.5319693094629157</v>
      </c>
      <c r="J35" s="12">
        <f>Dimensions!$D$40*I35</f>
        <v>413745.6681527825</v>
      </c>
      <c r="K35" s="12">
        <f t="shared" si="8"/>
        <v>7073459.5959196845</v>
      </c>
      <c r="M35" s="12">
        <f>LOOKUP(C35,'Concrete Mass'!$B$8:$B$123,'Concrete Mass'!$H$8:$H$123)</f>
        <v>435448.656</v>
      </c>
      <c r="N35" s="12">
        <f>LOOKUP(C35,'Concrete Mass'!$B$8:$B$123,'Concrete Mass'!$O$8:$O$123)</f>
        <v>199779.08065312495</v>
      </c>
      <c r="O35" s="12"/>
      <c r="P35" s="118">
        <f>17.0885*Dimensions!$D$23</f>
        <v>49379.88922454016</v>
      </c>
      <c r="Q35" s="118">
        <f>73.2364*Dimensions!$D$23</f>
        <v>211628.01411499624</v>
      </c>
      <c r="R35" s="118">
        <f>244.1214*Dimensions!$D$23</f>
        <v>705426.9063603978</v>
      </c>
      <c r="S35" s="12"/>
      <c r="T35" s="12"/>
      <c r="U35" s="118">
        <f>161.1201*Dimensions!$D$22</f>
        <v>175805.5856319965</v>
      </c>
      <c r="V35" s="118">
        <f>366.1821*Dimensions!$D$22</f>
        <v>399558.2086806941</v>
      </c>
      <c r="X35" s="18">
        <f t="shared" si="3"/>
        <v>436813.4889715329</v>
      </c>
      <c r="Z35" s="12">
        <f t="shared" si="4"/>
        <v>705426.9063603978</v>
      </c>
      <c r="AA35" s="12">
        <f t="shared" si="5"/>
        <v>399558.2086806941</v>
      </c>
      <c r="AC35" s="12">
        <f>IF(Dimensions!$D$52="y",Dimensions!$D$53,J35+M35+N35+X35+Z35+AA35)</f>
        <v>2590772.0088185323</v>
      </c>
      <c r="AD35" s="12">
        <f t="shared" si="9"/>
        <v>77213088.65036784</v>
      </c>
      <c r="AE35" s="12"/>
      <c r="AF35" s="9">
        <f t="shared" si="0"/>
        <v>0.15969976005007966</v>
      </c>
      <c r="AH35" s="18">
        <f>Dimensions!$D$49</f>
        <v>269000000</v>
      </c>
      <c r="AI35" s="18">
        <f>Dimensions!$D$50*AJ35</f>
        <v>1098947368.4210525</v>
      </c>
      <c r="AJ35" s="17">
        <f t="shared" si="12"/>
        <v>3.052631578947368</v>
      </c>
      <c r="AK35" s="12">
        <f>IF(Dimensions!$D$63="y",Dimensions!$D$64,AH35+AI35)</f>
        <v>0</v>
      </c>
      <c r="AM35" s="105">
        <f>IF(Dimensions!$D$57="y",Dimensions!$D$58,Dimensions!$D$59-((Dimensions!$D$59-Dimensions!$D$60)/109)*(A35-1))</f>
        <v>185.70825688073393</v>
      </c>
      <c r="AN35" s="12">
        <f>LOOKUP(AM35,'Crush Energy'!$A$10:$A$509,'Crush Energy'!$G$10:$G$509)</f>
        <v>2024.6907025539447</v>
      </c>
      <c r="AO35" s="12">
        <f>IF(Dimensions!$D$57="y",Dimensions!$D$61,AN35*M35)</f>
        <v>881648845.242811</v>
      </c>
      <c r="AP35" s="12">
        <f t="shared" si="10"/>
        <v>22262455358.115715</v>
      </c>
    </row>
    <row r="36" spans="1:42" ht="10.5">
      <c r="A36" s="5">
        <f t="shared" si="6"/>
        <v>29</v>
      </c>
      <c r="B36" s="5">
        <f t="shared" si="7"/>
        <v>88</v>
      </c>
      <c r="C36" s="5">
        <f t="shared" si="1"/>
        <v>82</v>
      </c>
      <c r="E36" s="5">
        <v>9</v>
      </c>
      <c r="F36" s="5">
        <v>9</v>
      </c>
      <c r="H36" s="9">
        <f aca="true" t="shared" si="14" ref="H36:H43">$H$8+(($H$117-$H$8)/12)*3</f>
        <v>56.5</v>
      </c>
      <c r="I36" s="98">
        <f t="shared" si="2"/>
        <v>0.5473145780051151</v>
      </c>
      <c r="J36" s="12">
        <f>Dimensions!$D$40*I36</f>
        <v>425680.6393494973</v>
      </c>
      <c r="K36" s="12">
        <f t="shared" si="8"/>
        <v>7499140.235269181</v>
      </c>
      <c r="M36" s="12">
        <f>LOOKUP(C36,'Concrete Mass'!$B$8:$B$123,'Concrete Mass'!$H$8:$H$123)</f>
        <v>435448.656</v>
      </c>
      <c r="N36" s="12">
        <f>LOOKUP(C36,'Concrete Mass'!$B$8:$B$123,'Concrete Mass'!$O$8:$O$123)</f>
        <v>199779.08065312495</v>
      </c>
      <c r="O36" s="12"/>
      <c r="P36" s="118">
        <f>17.0885*Dimensions!$D$23</f>
        <v>49379.88922454016</v>
      </c>
      <c r="Q36" s="118">
        <f>73.2364*Dimensions!$D$23</f>
        <v>211628.01411499624</v>
      </c>
      <c r="R36" s="118">
        <f>244.1214*Dimensions!$D$23</f>
        <v>705426.9063603978</v>
      </c>
      <c r="S36" s="12"/>
      <c r="T36" s="12"/>
      <c r="U36" s="118">
        <f>161.1201*Dimensions!$D$22</f>
        <v>175805.5856319965</v>
      </c>
      <c r="V36" s="118">
        <f>366.1821*Dimensions!$D$22</f>
        <v>399558.2086806941</v>
      </c>
      <c r="X36" s="18">
        <f t="shared" si="3"/>
        <v>436813.4889715329</v>
      </c>
      <c r="Z36" s="12">
        <f t="shared" si="4"/>
        <v>705426.9063603978</v>
      </c>
      <c r="AA36" s="12">
        <f t="shared" si="5"/>
        <v>399558.2086806941</v>
      </c>
      <c r="AC36" s="12">
        <f>IF(Dimensions!$D$52="y",Dimensions!$D$53,J36+M36+N36+X36+Z36+AA36)</f>
        <v>2602706.980015247</v>
      </c>
      <c r="AD36" s="12">
        <f t="shared" si="9"/>
        <v>79815795.63038309</v>
      </c>
      <c r="AE36" s="12"/>
      <c r="AF36" s="9">
        <f t="shared" si="0"/>
        <v>0.16355304020700923</v>
      </c>
      <c r="AH36" s="18">
        <f>Dimensions!$D$49</f>
        <v>269000000</v>
      </c>
      <c r="AI36" s="18">
        <f>Dimensions!$D$50*AJ36</f>
        <v>1155789473.6842105</v>
      </c>
      <c r="AJ36" s="17">
        <f t="shared" si="12"/>
        <v>3.2105263157894735</v>
      </c>
      <c r="AK36" s="12">
        <f>IF(Dimensions!$D$63="y",Dimensions!$D$64,AH36+AI36)</f>
        <v>0</v>
      </c>
      <c r="AM36" s="105">
        <f>IF(Dimensions!$D$57="y",Dimensions!$D$58,Dimensions!$D$59-((Dimensions!$D$59-Dimensions!$D$60)/109)*(A36-1))</f>
        <v>184.17522935779817</v>
      </c>
      <c r="AN36" s="12">
        <f>LOOKUP(AM36,'Crush Energy'!$A$10:$A$509,'Crush Energy'!$G$10:$G$509)</f>
        <v>2035.6944563721722</v>
      </c>
      <c r="AO36" s="12">
        <f>IF(Dimensions!$D$57="y",Dimensions!$D$61,AN36*M36)</f>
        <v>886440415.0539131</v>
      </c>
      <c r="AP36" s="12">
        <f t="shared" si="10"/>
        <v>23148895773.16963</v>
      </c>
    </row>
    <row r="37" spans="1:42" ht="10.5">
      <c r="A37" s="5">
        <f t="shared" si="6"/>
        <v>30</v>
      </c>
      <c r="B37" s="5">
        <f t="shared" si="7"/>
        <v>87</v>
      </c>
      <c r="C37" s="5">
        <f t="shared" si="1"/>
        <v>81</v>
      </c>
      <c r="E37" s="5">
        <v>9</v>
      </c>
      <c r="F37" s="5">
        <v>9</v>
      </c>
      <c r="H37" s="9">
        <f t="shared" si="14"/>
        <v>56.5</v>
      </c>
      <c r="I37" s="98">
        <f t="shared" si="2"/>
        <v>0.5626598465473146</v>
      </c>
      <c r="J37" s="12">
        <f>Dimensions!$D$40*I37</f>
        <v>437615.61054621224</v>
      </c>
      <c r="K37" s="12">
        <f t="shared" si="8"/>
        <v>7936755.845815394</v>
      </c>
      <c r="M37" s="12">
        <f>LOOKUP(C37,'Concrete Mass'!$B$8:$B$123,'Concrete Mass'!$H$8:$H$123)</f>
        <v>435448.656</v>
      </c>
      <c r="N37" s="12">
        <f>LOOKUP(C37,'Concrete Mass'!$B$8:$B$123,'Concrete Mass'!$O$8:$O$123)</f>
        <v>199779.08065312495</v>
      </c>
      <c r="O37" s="12"/>
      <c r="P37" s="118">
        <f>17.0885*Dimensions!$D$23</f>
        <v>49379.88922454016</v>
      </c>
      <c r="Q37" s="118">
        <f>73.2364*Dimensions!$D$23</f>
        <v>211628.01411499624</v>
      </c>
      <c r="R37" s="118">
        <f>244.1214*Dimensions!$D$23</f>
        <v>705426.9063603978</v>
      </c>
      <c r="S37" s="12"/>
      <c r="T37" s="12"/>
      <c r="U37" s="118">
        <f>161.1201*Dimensions!$D$22</f>
        <v>175805.5856319965</v>
      </c>
      <c r="V37" s="118">
        <f>366.1821*Dimensions!$D$22</f>
        <v>399558.2086806941</v>
      </c>
      <c r="X37" s="18">
        <f t="shared" si="3"/>
        <v>436813.4889715329</v>
      </c>
      <c r="Z37" s="12">
        <f t="shared" si="4"/>
        <v>705426.9063603978</v>
      </c>
      <c r="AA37" s="12">
        <f t="shared" si="5"/>
        <v>399558.2086806941</v>
      </c>
      <c r="AC37" s="12">
        <f>IF(Dimensions!$D$52="y",Dimensions!$D$53,J37+M37+N37+X37+Z37+AA37)</f>
        <v>2614641.951211962</v>
      </c>
      <c r="AD37" s="12">
        <f t="shared" si="9"/>
        <v>82430437.58159505</v>
      </c>
      <c r="AE37" s="12"/>
      <c r="AF37" s="9">
        <f t="shared" si="0"/>
        <v>0.1673711424783668</v>
      </c>
      <c r="AH37" s="18">
        <f>Dimensions!$D$49</f>
        <v>269000000</v>
      </c>
      <c r="AI37" s="18">
        <f>Dimensions!$D$50*AJ37</f>
        <v>1212631578.9473684</v>
      </c>
      <c r="AJ37" s="17">
        <f t="shared" si="12"/>
        <v>3.3684210526315788</v>
      </c>
      <c r="AK37" s="12">
        <f>IF(Dimensions!$D$63="y",Dimensions!$D$64,AH37+AI37)</f>
        <v>0</v>
      </c>
      <c r="AM37" s="105">
        <f>IF(Dimensions!$D$57="y",Dimensions!$D$58,Dimensions!$D$59-((Dimensions!$D$59-Dimensions!$D$60)/109)*(A37-1))</f>
        <v>182.6422018348624</v>
      </c>
      <c r="AN37" s="12">
        <f>LOOKUP(AM37,'Crush Energy'!$A$10:$A$509,'Crush Energy'!$G$10:$G$509)</f>
        <v>2058.064725123515</v>
      </c>
      <c r="AO37" s="12">
        <f>IF(Dimensions!$D$57="y",Dimensions!$D$61,AN37*M37)</f>
        <v>896181518.5160441</v>
      </c>
      <c r="AP37" s="12">
        <f t="shared" si="10"/>
        <v>24045077291.685673</v>
      </c>
    </row>
    <row r="38" spans="1:42" ht="10.5">
      <c r="A38" s="5">
        <f t="shared" si="6"/>
        <v>31</v>
      </c>
      <c r="B38" s="5">
        <f t="shared" si="7"/>
        <v>86</v>
      </c>
      <c r="C38" s="5">
        <f t="shared" si="1"/>
        <v>80</v>
      </c>
      <c r="E38" s="5">
        <v>9</v>
      </c>
      <c r="F38" s="5">
        <v>9</v>
      </c>
      <c r="H38" s="9">
        <f t="shared" si="14"/>
        <v>56.5</v>
      </c>
      <c r="I38" s="98">
        <f t="shared" si="2"/>
        <v>0.578005115089514</v>
      </c>
      <c r="J38" s="12">
        <f>Dimensions!$D$40*I38</f>
        <v>449550.581742927</v>
      </c>
      <c r="K38" s="12">
        <f t="shared" si="8"/>
        <v>8386306.4275583215</v>
      </c>
      <c r="M38" s="12">
        <f>LOOKUP(C38,'Concrete Mass'!$B$8:$B$123,'Concrete Mass'!$H$8:$H$123)</f>
        <v>435448.656</v>
      </c>
      <c r="N38" s="12">
        <f>LOOKUP(C38,'Concrete Mass'!$B$8:$B$123,'Concrete Mass'!$O$8:$O$123)</f>
        <v>199779.08065312495</v>
      </c>
      <c r="O38" s="12"/>
      <c r="P38" s="118">
        <f>17.0885*Dimensions!$D$23</f>
        <v>49379.88922454016</v>
      </c>
      <c r="Q38" s="118">
        <f>73.2364*Dimensions!$D$23</f>
        <v>211628.01411499624</v>
      </c>
      <c r="R38" s="118">
        <f>244.1214*Dimensions!$D$23</f>
        <v>705426.9063603978</v>
      </c>
      <c r="S38" s="12"/>
      <c r="T38" s="12"/>
      <c r="U38" s="118">
        <f>161.1201*Dimensions!$D$22</f>
        <v>175805.5856319965</v>
      </c>
      <c r="V38" s="118">
        <f>366.1821*Dimensions!$D$22</f>
        <v>399558.2086806941</v>
      </c>
      <c r="X38" s="18">
        <f t="shared" si="3"/>
        <v>436813.4889715329</v>
      </c>
      <c r="Z38" s="12">
        <f t="shared" si="4"/>
        <v>705426.9063603978</v>
      </c>
      <c r="AA38" s="12">
        <f t="shared" si="5"/>
        <v>399558.2086806941</v>
      </c>
      <c r="AC38" s="12">
        <f>IF(Dimensions!$D$52="y",Dimensions!$D$53,J38+M38+N38+X38+Z38+AA38)</f>
        <v>2626576.9224086767</v>
      </c>
      <c r="AD38" s="12">
        <f t="shared" si="9"/>
        <v>85057014.50400372</v>
      </c>
      <c r="AE38" s="12"/>
      <c r="AF38" s="9">
        <f t="shared" si="0"/>
        <v>0.17115454640127997</v>
      </c>
      <c r="AH38" s="18">
        <f>Dimensions!$D$49</f>
        <v>269000000</v>
      </c>
      <c r="AI38" s="18">
        <f>Dimensions!$D$50*AJ38</f>
        <v>1269473684.2105262</v>
      </c>
      <c r="AJ38" s="17">
        <f t="shared" si="12"/>
        <v>3.526315789473684</v>
      </c>
      <c r="AK38" s="12">
        <f>IF(Dimensions!$D$63="y",Dimensions!$D$64,AH38+AI38)</f>
        <v>0</v>
      </c>
      <c r="AM38" s="105">
        <f>IF(Dimensions!$D$57="y",Dimensions!$D$58,Dimensions!$D$59-((Dimensions!$D$59-Dimensions!$D$60)/109)*(A38-1))</f>
        <v>181.1091743119266</v>
      </c>
      <c r="AN38" s="12">
        <f>LOOKUP(AM38,'Crush Energy'!$A$10:$A$509,'Crush Energy'!$G$10:$G$509)</f>
        <v>2069.4352484667384</v>
      </c>
      <c r="AO38" s="12">
        <f>IF(Dimensions!$D$57="y",Dimensions!$D$61,AN38*M38)</f>
        <v>901132797.6238673</v>
      </c>
      <c r="AP38" s="12">
        <f t="shared" si="10"/>
        <v>24946210089.30954</v>
      </c>
    </row>
    <row r="39" spans="1:42" ht="10.5">
      <c r="A39" s="5">
        <f t="shared" si="6"/>
        <v>32</v>
      </c>
      <c r="B39" s="5">
        <f t="shared" si="7"/>
        <v>85</v>
      </c>
      <c r="C39" s="5">
        <f t="shared" si="1"/>
        <v>79</v>
      </c>
      <c r="E39" s="5">
        <v>8</v>
      </c>
      <c r="F39" s="5">
        <v>8</v>
      </c>
      <c r="H39" s="9">
        <f t="shared" si="14"/>
        <v>56.5</v>
      </c>
      <c r="I39" s="98">
        <f t="shared" si="2"/>
        <v>0.5933503836317136</v>
      </c>
      <c r="J39" s="12">
        <f>Dimensions!$D$40*I39</f>
        <v>461485.55293964193</v>
      </c>
      <c r="K39" s="12">
        <f t="shared" si="8"/>
        <v>8847791.980497964</v>
      </c>
      <c r="M39" s="12">
        <f>LOOKUP(C39,'Concrete Mass'!$B$8:$B$123,'Concrete Mass'!$H$8:$H$123)</f>
        <v>435448.656</v>
      </c>
      <c r="N39" s="12">
        <f>LOOKUP(C39,'Concrete Mass'!$B$8:$B$123,'Concrete Mass'!$O$8:$O$123)</f>
        <v>199779.08065312495</v>
      </c>
      <c r="O39" s="12"/>
      <c r="P39" s="118">
        <f>17.0885*Dimensions!$D$23</f>
        <v>49379.88922454016</v>
      </c>
      <c r="Q39" s="118">
        <f>73.2364*Dimensions!$D$23</f>
        <v>211628.01411499624</v>
      </c>
      <c r="R39" s="118">
        <f>244.1214*Dimensions!$D$23</f>
        <v>705426.9063603978</v>
      </c>
      <c r="S39" s="12"/>
      <c r="T39" s="12"/>
      <c r="U39" s="118">
        <f>161.1201*Dimensions!$D$22</f>
        <v>175805.5856319965</v>
      </c>
      <c r="V39" s="118">
        <f>366.1821*Dimensions!$D$22</f>
        <v>399558.2086806941</v>
      </c>
      <c r="X39" s="18">
        <f t="shared" si="3"/>
        <v>436813.4889715329</v>
      </c>
      <c r="Z39" s="12">
        <f t="shared" si="4"/>
        <v>705426.9063603978</v>
      </c>
      <c r="AA39" s="12">
        <f t="shared" si="5"/>
        <v>399558.2086806941</v>
      </c>
      <c r="AC39" s="12">
        <f>IF(Dimensions!$D$52="y",Dimensions!$D$53,J39+M39+N39+X39+Z39+AA39)</f>
        <v>2638511.8936053915</v>
      </c>
      <c r="AD39" s="12">
        <f t="shared" si="9"/>
        <v>87695526.39760911</v>
      </c>
      <c r="AE39" s="12"/>
      <c r="AF39" s="9">
        <f t="shared" si="0"/>
        <v>0.17490372283637712</v>
      </c>
      <c r="AH39" s="18">
        <f>Dimensions!$D$49</f>
        <v>269000000</v>
      </c>
      <c r="AI39" s="18">
        <f>Dimensions!$D$50*AJ39</f>
        <v>1326315789.473684</v>
      </c>
      <c r="AJ39" s="17">
        <f t="shared" si="12"/>
        <v>3.6842105263157894</v>
      </c>
      <c r="AK39" s="12">
        <f>IF(Dimensions!$D$63="y",Dimensions!$D$64,AH39+AI39)</f>
        <v>0</v>
      </c>
      <c r="AM39" s="105">
        <f>IF(Dimensions!$D$57="y",Dimensions!$D$58,Dimensions!$D$59-((Dimensions!$D$59-Dimensions!$D$60)/109)*(A39-1))</f>
        <v>179.57614678899083</v>
      </c>
      <c r="AN39" s="12">
        <f>LOOKUP(AM39,'Crush Energy'!$A$10:$A$509,'Crush Energy'!$G$10:$G$509)</f>
        <v>2092.5574300138533</v>
      </c>
      <c r="AO39" s="12">
        <f>IF(Dimensions!$D$57="y",Dimensions!$D$61,AN39*M39)</f>
        <v>911201320.5023465</v>
      </c>
      <c r="AP39" s="12">
        <f t="shared" si="10"/>
        <v>25857411409.811886</v>
      </c>
    </row>
    <row r="40" spans="1:42" ht="10.5">
      <c r="A40" s="5">
        <f t="shared" si="6"/>
        <v>33</v>
      </c>
      <c r="B40" s="5">
        <f t="shared" si="7"/>
        <v>84</v>
      </c>
      <c r="C40" s="5">
        <f t="shared" si="1"/>
        <v>78</v>
      </c>
      <c r="E40" s="5">
        <v>7</v>
      </c>
      <c r="F40" s="5">
        <v>7</v>
      </c>
      <c r="H40" s="9">
        <f t="shared" si="14"/>
        <v>56.5</v>
      </c>
      <c r="I40" s="98">
        <f t="shared" si="2"/>
        <v>0.6086956521739131</v>
      </c>
      <c r="J40" s="12">
        <f>Dimensions!$D$40*I40</f>
        <v>473420.52413635683</v>
      </c>
      <c r="K40" s="12">
        <f t="shared" si="8"/>
        <v>9321212.50463432</v>
      </c>
      <c r="M40" s="12">
        <f>LOOKUP(C40,'Concrete Mass'!$B$8:$B$123,'Concrete Mass'!$H$8:$H$123)</f>
        <v>435448.656</v>
      </c>
      <c r="N40" s="12">
        <f>LOOKUP(C40,'Concrete Mass'!$B$8:$B$123,'Concrete Mass'!$O$8:$O$123)</f>
        <v>199779.08065312495</v>
      </c>
      <c r="O40" s="12"/>
      <c r="P40" s="118">
        <f>17.0885*Dimensions!$D$23</f>
        <v>49379.88922454016</v>
      </c>
      <c r="Q40" s="118">
        <f>73.2364*Dimensions!$D$23</f>
        <v>211628.01411499624</v>
      </c>
      <c r="R40" s="118">
        <f>244.1214*Dimensions!$D$23</f>
        <v>705426.9063603978</v>
      </c>
      <c r="S40" s="12"/>
      <c r="T40" s="12"/>
      <c r="U40" s="118">
        <f>161.1201*Dimensions!$D$22</f>
        <v>175805.5856319965</v>
      </c>
      <c r="V40" s="118">
        <f>366.1821*Dimensions!$D$22</f>
        <v>399558.2086806941</v>
      </c>
      <c r="X40" s="18">
        <f t="shared" si="3"/>
        <v>436813.4889715329</v>
      </c>
      <c r="Z40" s="12">
        <f t="shared" si="4"/>
        <v>705426.9063603978</v>
      </c>
      <c r="AA40" s="12">
        <f t="shared" si="5"/>
        <v>399558.2086806941</v>
      </c>
      <c r="AC40" s="12">
        <f>IF(Dimensions!$D$52="y",Dimensions!$D$53,J40+M40+N40+X40+Z40+AA40)</f>
        <v>2650446.8648021063</v>
      </c>
      <c r="AD40" s="12">
        <f t="shared" si="9"/>
        <v>90345973.26241122</v>
      </c>
      <c r="AE40" s="12"/>
      <c r="AF40" s="9">
        <f aca="true" t="shared" si="15" ref="AF40:AF71">J40/AC40</f>
        <v>0.17861913416313835</v>
      </c>
      <c r="AH40" s="18">
        <f>Dimensions!$D$49</f>
        <v>269000000</v>
      </c>
      <c r="AI40" s="18">
        <f>Dimensions!$D$50*AJ40</f>
        <v>1383157894.7368422</v>
      </c>
      <c r="AJ40" s="17">
        <f t="shared" si="12"/>
        <v>3.8421052631578947</v>
      </c>
      <c r="AK40" s="12">
        <f>IF(Dimensions!$D$63="y",Dimensions!$D$64,AH40+AI40)</f>
        <v>0</v>
      </c>
      <c r="AM40" s="105">
        <f>IF(Dimensions!$D$57="y",Dimensions!$D$58,Dimensions!$D$59-((Dimensions!$D$59-Dimensions!$D$60)/109)*(A40-1))</f>
        <v>178.04311926605504</v>
      </c>
      <c r="AN40" s="12">
        <f>LOOKUP(AM40,'Crush Energy'!$A$10:$A$509,'Crush Energy'!$G$10:$G$509)</f>
        <v>2104.313370631908</v>
      </c>
      <c r="AO40" s="12">
        <f>IF(Dimensions!$D$57="y",Dimensions!$D$61,AN40*M40)</f>
        <v>916320429.0444943</v>
      </c>
      <c r="AP40" s="12">
        <f t="shared" si="10"/>
        <v>26773731838.85638</v>
      </c>
    </row>
    <row r="41" spans="1:42" ht="10.5">
      <c r="A41" s="5">
        <f t="shared" si="6"/>
        <v>34</v>
      </c>
      <c r="B41" s="5">
        <f t="shared" si="7"/>
        <v>83</v>
      </c>
      <c r="C41" s="5">
        <f t="shared" si="1"/>
        <v>77</v>
      </c>
      <c r="E41" s="5">
        <v>12</v>
      </c>
      <c r="F41" s="5">
        <v>12</v>
      </c>
      <c r="H41" s="9">
        <f t="shared" si="14"/>
        <v>56.5</v>
      </c>
      <c r="I41" s="98">
        <f t="shared" si="2"/>
        <v>0.6240409207161125</v>
      </c>
      <c r="J41" s="12">
        <f>Dimensions!$D$40*I41</f>
        <v>485355.4953330717</v>
      </c>
      <c r="K41" s="12">
        <f t="shared" si="8"/>
        <v>9806567.999967393</v>
      </c>
      <c r="M41" s="12">
        <f>LOOKUP(C41,'Concrete Mass'!$B$8:$B$123,'Concrete Mass'!$H$8:$H$123)</f>
        <v>996088.8006</v>
      </c>
      <c r="N41" s="12">
        <f>LOOKUP(C41,'Concrete Mass'!$B$8:$B$123,'Concrete Mass'!$O$8:$O$123)</f>
        <v>319646.5290449999</v>
      </c>
      <c r="O41" s="12"/>
      <c r="P41" s="117">
        <f>75*Dimensions!$C$105*Dimensions!$D$23</f>
        <v>1058140.3595405968</v>
      </c>
      <c r="Q41" s="117">
        <f>75*Dimensions!$C$105*Dimensions!$D$23</f>
        <v>1058140.3595405968</v>
      </c>
      <c r="R41" s="117">
        <f>75*Dimensions!$C$105*Dimensions!$D$23</f>
        <v>1058140.3595405968</v>
      </c>
      <c r="S41" s="12"/>
      <c r="T41" s="12"/>
      <c r="U41" s="117">
        <f>322.3402*Dimensions!$D$22</f>
        <v>351720.28588447295</v>
      </c>
      <c r="V41" s="117">
        <f>366.1821*Dimensions!$D$22</f>
        <v>399558.2086806941</v>
      </c>
      <c r="X41" s="18">
        <f t="shared" si="3"/>
        <v>2468001.0049656667</v>
      </c>
      <c r="Z41" s="12">
        <f t="shared" si="4"/>
        <v>1058140.3595405968</v>
      </c>
      <c r="AA41" s="12">
        <f t="shared" si="5"/>
        <v>399558.2086806941</v>
      </c>
      <c r="AC41" s="12">
        <f>IF(Dimensions!$D$52="y",Dimensions!$D$53,J41+M41+N41+X41+Z41+AA41)</f>
        <v>5726790.398165029</v>
      </c>
      <c r="AD41" s="12">
        <f t="shared" si="9"/>
        <v>96072763.66057625</v>
      </c>
      <c r="AE41" s="12"/>
      <c r="AF41" s="9">
        <f t="shared" si="15"/>
        <v>0.0847517477658321</v>
      </c>
      <c r="AH41" s="18">
        <f>Dimensions!$D$49</f>
        <v>269000000</v>
      </c>
      <c r="AI41" s="18">
        <f>Dimensions!$D$50*AJ41</f>
        <v>1440000000</v>
      </c>
      <c r="AJ41" s="17">
        <f t="shared" si="12"/>
        <v>4</v>
      </c>
      <c r="AK41" s="12">
        <f>IF(Dimensions!$D$63="y",Dimensions!$D$64,AH41+AI41)</f>
        <v>0</v>
      </c>
      <c r="AM41" s="105">
        <f>IF(Dimensions!$D$57="y",Dimensions!$D$58,Dimensions!$D$59-((Dimensions!$D$59-Dimensions!$D$60)/109)*(A41-1))</f>
        <v>176.51009174311926</v>
      </c>
      <c r="AN41" s="12">
        <f>LOOKUP(AM41,'Crush Energy'!$A$10:$A$509,'Crush Energy'!$G$10:$G$509)</f>
        <v>2128.2260225709074</v>
      </c>
      <c r="AO41" s="12">
        <f>IF(Dimensions!$D$57="y",Dimensions!$D$61,AN41*M41)</f>
        <v>2119902106.2283635</v>
      </c>
      <c r="AP41" s="12">
        <f t="shared" si="10"/>
        <v>28893633945.084743</v>
      </c>
    </row>
    <row r="42" spans="1:42" ht="10.5">
      <c r="A42" s="5">
        <f t="shared" si="6"/>
        <v>35</v>
      </c>
      <c r="B42" s="5">
        <f t="shared" si="7"/>
        <v>82</v>
      </c>
      <c r="C42" s="5">
        <f t="shared" si="1"/>
        <v>76</v>
      </c>
      <c r="E42" s="5">
        <v>13</v>
      </c>
      <c r="F42" s="5">
        <v>13</v>
      </c>
      <c r="H42" s="9">
        <f t="shared" si="14"/>
        <v>56.5</v>
      </c>
      <c r="I42" s="98">
        <f t="shared" si="2"/>
        <v>0.639386189258312</v>
      </c>
      <c r="J42" s="12">
        <f>Dimensions!$D$40*I42</f>
        <v>497290.4665297866</v>
      </c>
      <c r="K42" s="12">
        <f t="shared" si="8"/>
        <v>10303858.46649718</v>
      </c>
      <c r="M42" s="12">
        <f>LOOKUP(C42,'Concrete Mass'!$B$8:$B$123,'Concrete Mass'!$H$8:$H$123)</f>
        <v>996088.8006</v>
      </c>
      <c r="N42" s="12">
        <f>LOOKUP(C42,'Concrete Mass'!$B$8:$B$123,'Concrete Mass'!$O$8:$O$123)</f>
        <v>319646.5290449999</v>
      </c>
      <c r="O42" s="12"/>
      <c r="P42" s="117">
        <f>75*Dimensions!$C$105*Dimensions!$D$23</f>
        <v>1058140.3595405968</v>
      </c>
      <c r="Q42" s="117">
        <f>75*Dimensions!$C$105*Dimensions!$D$23</f>
        <v>1058140.3595405968</v>
      </c>
      <c r="R42" s="117">
        <f>75*Dimensions!$C$105*Dimensions!$D$23</f>
        <v>1058140.3595405968</v>
      </c>
      <c r="S42" s="12"/>
      <c r="T42" s="12"/>
      <c r="U42" s="117">
        <f>322.3402*Dimensions!$D$22</f>
        <v>351720.28588447295</v>
      </c>
      <c r="V42" s="117">
        <f>366.1821*Dimensions!$D$22</f>
        <v>399558.2086806941</v>
      </c>
      <c r="X42" s="18">
        <f t="shared" si="3"/>
        <v>2468001.0049656667</v>
      </c>
      <c r="Z42" s="12">
        <f t="shared" si="4"/>
        <v>1058140.3595405968</v>
      </c>
      <c r="AA42" s="12">
        <f t="shared" si="5"/>
        <v>399558.2086806941</v>
      </c>
      <c r="AC42" s="12">
        <f>IF(Dimensions!$D$52="y",Dimensions!$D$53,J42+M42+N42+X42+Z42+AA42)</f>
        <v>5738725.369361744</v>
      </c>
      <c r="AD42" s="12">
        <f t="shared" si="9"/>
        <v>101811489.029938</v>
      </c>
      <c r="AE42" s="12"/>
      <c r="AF42" s="9">
        <f t="shared" si="15"/>
        <v>0.08665521252937998</v>
      </c>
      <c r="AH42" s="18">
        <f>Dimensions!$D$49</f>
        <v>269000000</v>
      </c>
      <c r="AI42" s="18">
        <f>Dimensions!$D$50*AJ42</f>
        <v>1496842105.2631578</v>
      </c>
      <c r="AJ42" s="17">
        <f t="shared" si="12"/>
        <v>4.157894736842105</v>
      </c>
      <c r="AK42" s="12">
        <f>IF(Dimensions!$D$63="y",Dimensions!$D$64,AH42+AI42)</f>
        <v>0</v>
      </c>
      <c r="AM42" s="105">
        <f>IF(Dimensions!$D$57="y",Dimensions!$D$58,Dimensions!$D$59-((Dimensions!$D$59-Dimensions!$D$60)/109)*(A42-1))</f>
        <v>174.97706422018348</v>
      </c>
      <c r="AN42" s="12">
        <f>LOOKUP(AM42,'Crush Energy'!$A$10:$A$509,'Crush Energy'!$G$10:$G$509)</f>
        <v>2152.688390646435</v>
      </c>
      <c r="AO42" s="12">
        <f>IF(Dimensions!$D$57="y",Dimensions!$D$61,AN42*M42)</f>
        <v>2144268797.1045516</v>
      </c>
      <c r="AP42" s="12">
        <f t="shared" si="10"/>
        <v>31037902742.189297</v>
      </c>
    </row>
    <row r="43" spans="1:42" ht="10.5">
      <c r="A43" s="5">
        <f t="shared" si="6"/>
        <v>36</v>
      </c>
      <c r="B43" s="5">
        <f t="shared" si="7"/>
        <v>81</v>
      </c>
      <c r="C43" s="5">
        <f t="shared" si="1"/>
        <v>75</v>
      </c>
      <c r="E43" s="5">
        <v>12</v>
      </c>
      <c r="F43" s="5">
        <v>12</v>
      </c>
      <c r="H43" s="9">
        <f t="shared" si="14"/>
        <v>56.5</v>
      </c>
      <c r="I43" s="98">
        <f t="shared" si="2"/>
        <v>0.6547314578005116</v>
      </c>
      <c r="J43" s="12">
        <f>Dimensions!$D$40*I43</f>
        <v>509225.4377265015</v>
      </c>
      <c r="K43" s="12">
        <f t="shared" si="8"/>
        <v>10813083.90422368</v>
      </c>
      <c r="M43" s="12">
        <f>LOOKUP(C43,'Concrete Mass'!$B$8:$B$123,'Concrete Mass'!$H$8:$H$123)</f>
        <v>996088.8006</v>
      </c>
      <c r="N43" s="12">
        <f>LOOKUP(C43,'Concrete Mass'!$B$8:$B$123,'Concrete Mass'!$O$8:$O$123)</f>
        <v>319646.5290449999</v>
      </c>
      <c r="O43" s="12"/>
      <c r="P43" s="117">
        <f>75*Dimensions!$C$105*Dimensions!$D$23</f>
        <v>1058140.3595405968</v>
      </c>
      <c r="Q43" s="117">
        <f>75*Dimensions!$C$105*Dimensions!$D$23</f>
        <v>1058140.3595405968</v>
      </c>
      <c r="R43" s="117">
        <f>75*Dimensions!$C$105*Dimensions!$D$23</f>
        <v>1058140.3595405968</v>
      </c>
      <c r="S43" s="12"/>
      <c r="T43" s="12"/>
      <c r="U43" s="117">
        <f>322.3402*Dimensions!$D$22</f>
        <v>351720.28588447295</v>
      </c>
      <c r="V43" s="117">
        <f>366.1821*Dimensions!$D$22</f>
        <v>399558.2086806941</v>
      </c>
      <c r="X43" s="18">
        <f t="shared" si="3"/>
        <v>2468001.0049656667</v>
      </c>
      <c r="Z43" s="12">
        <f t="shared" si="4"/>
        <v>1058140.3595405968</v>
      </c>
      <c r="AA43" s="12">
        <f t="shared" si="5"/>
        <v>399558.2086806941</v>
      </c>
      <c r="AC43" s="12">
        <f>IF(Dimensions!$D$52="y",Dimensions!$D$53,J43+M43+N43+X43+Z43+AA43)</f>
        <v>5750660.340558459</v>
      </c>
      <c r="AD43" s="12">
        <f t="shared" si="9"/>
        <v>107562149.37049645</v>
      </c>
      <c r="AE43" s="12"/>
      <c r="AF43" s="9">
        <f t="shared" si="15"/>
        <v>0.08855077635780685</v>
      </c>
      <c r="AH43" s="18">
        <f>Dimensions!$D$49</f>
        <v>269000000</v>
      </c>
      <c r="AI43" s="18">
        <f>Dimensions!$D$50*AJ43</f>
        <v>1553684210.526316</v>
      </c>
      <c r="AJ43" s="17">
        <f t="shared" si="12"/>
        <v>4.315789473684211</v>
      </c>
      <c r="AK43" s="12">
        <f>IF(Dimensions!$D$63="y",Dimensions!$D$64,AH43+AI43)</f>
        <v>0</v>
      </c>
      <c r="AM43" s="105">
        <f>IF(Dimensions!$D$57="y",Dimensions!$D$58,Dimensions!$D$59-((Dimensions!$D$59-Dimensions!$D$60)/109)*(A43-1))</f>
        <v>173.4440366972477</v>
      </c>
      <c r="AN43" s="12">
        <f>LOOKUP(AM43,'Crush Energy'!$A$10:$A$509,'Crush Energy'!$G$10:$G$509)</f>
        <v>2165.131676141501</v>
      </c>
      <c r="AO43" s="12">
        <f>IF(Dimensions!$D$57="y",Dimensions!$D$61,AN43*M43)</f>
        <v>2156663414.4288554</v>
      </c>
      <c r="AP43" s="12">
        <f t="shared" si="10"/>
        <v>33194566156.618153</v>
      </c>
    </row>
    <row r="44" spans="1:42" ht="10.5">
      <c r="A44" s="5">
        <f t="shared" si="6"/>
        <v>37</v>
      </c>
      <c r="B44" s="5">
        <f t="shared" si="7"/>
        <v>80</v>
      </c>
      <c r="C44" s="5">
        <f t="shared" si="1"/>
        <v>74</v>
      </c>
      <c r="E44" s="5">
        <v>1</v>
      </c>
      <c r="F44" s="5">
        <v>1</v>
      </c>
      <c r="H44" s="9">
        <f>$H$8+(($H$117-$H$8)/12)*4</f>
        <v>61.33333333333333</v>
      </c>
      <c r="I44" s="98">
        <f t="shared" si="2"/>
        <v>0.670076726342711</v>
      </c>
      <c r="J44" s="12">
        <f>Dimensions!$D$40*I44</f>
        <v>521160.40892321634</v>
      </c>
      <c r="K44" s="12">
        <f t="shared" si="8"/>
        <v>11334244.313146897</v>
      </c>
      <c r="M44" s="12">
        <f>LOOKUP(C44,'Concrete Mass'!$B$8:$B$123,'Concrete Mass'!$H$8:$H$123)</f>
        <v>435448.656</v>
      </c>
      <c r="N44" s="12">
        <f>LOOKUP(C44,'Concrete Mass'!$B$8:$B$123,'Concrete Mass'!$O$8:$O$123)</f>
        <v>199779.08065312495</v>
      </c>
      <c r="O44" s="12"/>
      <c r="P44" s="116">
        <f>3.5*Dimensions!$C$105*Dimensions!$D$23</f>
        <v>49379.88344522785</v>
      </c>
      <c r="Q44" s="116">
        <f>15*Dimensions!$C$105*Dimensions!$D$23</f>
        <v>211628.07190811934</v>
      </c>
      <c r="R44" s="116">
        <f>50*Dimensions!$C$105*Dimensions!$D$23</f>
        <v>705426.9063603978</v>
      </c>
      <c r="S44" s="12"/>
      <c r="T44" s="12"/>
      <c r="U44" s="116">
        <f>161.1201*Dimensions!$D$22</f>
        <v>175805.5856319965</v>
      </c>
      <c r="V44" s="116">
        <f>366.1821*Dimensions!$D$22</f>
        <v>399558.2086806941</v>
      </c>
      <c r="X44" s="18">
        <f t="shared" si="3"/>
        <v>436813.5409853437</v>
      </c>
      <c r="Z44" s="12">
        <f t="shared" si="4"/>
        <v>705426.9063603978</v>
      </c>
      <c r="AA44" s="12">
        <f t="shared" si="5"/>
        <v>399558.2086806941</v>
      </c>
      <c r="AC44" s="12">
        <f>IF(Dimensions!$D$52="y",Dimensions!$D$53,J44+M44+N44+X44+Z44+AA44)</f>
        <v>2698186.801602777</v>
      </c>
      <c r="AD44" s="12">
        <f t="shared" si="9"/>
        <v>110260336.17209923</v>
      </c>
      <c r="AE44" s="12"/>
      <c r="AF44" s="9">
        <f t="shared" si="15"/>
        <v>0.19315208591697083</v>
      </c>
      <c r="AH44" s="18">
        <f>Dimensions!$D$49</f>
        <v>269000000</v>
      </c>
      <c r="AI44" s="18">
        <f>Dimensions!$D$50*AJ44</f>
        <v>1610526315.7894735</v>
      </c>
      <c r="AJ44" s="17">
        <f t="shared" si="12"/>
        <v>4.473684210526315</v>
      </c>
      <c r="AK44" s="12">
        <f>IF(Dimensions!$D$63="y",Dimensions!$D$64,AH44+AI44)</f>
        <v>0</v>
      </c>
      <c r="AM44" s="105">
        <f>IF(Dimensions!$D$57="y",Dimensions!$D$58,Dimensions!$D$59-((Dimensions!$D$59-Dimensions!$D$60)/109)*(A44-1))</f>
        <v>171.9110091743119</v>
      </c>
      <c r="AN44" s="12">
        <f>LOOKUP(AM44,'Crush Energy'!$A$10:$A$509,'Crush Energy'!$G$10:$G$509)</f>
        <v>2190.454853640232</v>
      </c>
      <c r="AO44" s="12">
        <f>IF(Dimensions!$D$57="y",Dimensions!$D$61,AN44*M44)</f>
        <v>953830622.0463158</v>
      </c>
      <c r="AP44" s="12">
        <f t="shared" si="10"/>
        <v>34148396778.664467</v>
      </c>
    </row>
    <row r="45" spans="1:42" ht="10.5">
      <c r="A45" s="5">
        <f t="shared" si="6"/>
        <v>38</v>
      </c>
      <c r="B45" s="5">
        <f t="shared" si="7"/>
        <v>79</v>
      </c>
      <c r="C45" s="5">
        <f t="shared" si="1"/>
        <v>73</v>
      </c>
      <c r="E45" s="5">
        <v>1</v>
      </c>
      <c r="F45" s="5">
        <v>1</v>
      </c>
      <c r="H45" s="9">
        <f aca="true" t="shared" si="16" ref="H45:H52">$H$8+(($H$117-$H$8)/12)*4</f>
        <v>61.33333333333333</v>
      </c>
      <c r="I45" s="98">
        <f t="shared" si="2"/>
        <v>0.6854219948849105</v>
      </c>
      <c r="J45" s="12">
        <f>Dimensions!$D$40*I45</f>
        <v>533095.3801199312</v>
      </c>
      <c r="K45" s="12">
        <f t="shared" si="8"/>
        <v>11867339.693266828</v>
      </c>
      <c r="M45" s="12">
        <f>LOOKUP(C45,'Concrete Mass'!$B$8:$B$123,'Concrete Mass'!$H$8:$H$123)</f>
        <v>435448.656</v>
      </c>
      <c r="N45" s="12">
        <f>LOOKUP(C45,'Concrete Mass'!$B$8:$B$123,'Concrete Mass'!$O$8:$O$123)</f>
        <v>199779.08065312495</v>
      </c>
      <c r="O45" s="12"/>
      <c r="P45" s="116">
        <f>3.5*Dimensions!$C$105*Dimensions!$D$23</f>
        <v>49379.88344522785</v>
      </c>
      <c r="Q45" s="116">
        <f>15*Dimensions!$C$105*Dimensions!$D$23</f>
        <v>211628.07190811934</v>
      </c>
      <c r="R45" s="116">
        <f>50*Dimensions!$C$105*Dimensions!$D$23</f>
        <v>705426.9063603978</v>
      </c>
      <c r="S45" s="12"/>
      <c r="T45" s="12"/>
      <c r="U45" s="116">
        <f>161.1201*Dimensions!$D$22</f>
        <v>175805.5856319965</v>
      </c>
      <c r="V45" s="116">
        <f>366.1821*Dimensions!$D$22</f>
        <v>399558.2086806941</v>
      </c>
      <c r="X45" s="18">
        <f t="shared" si="3"/>
        <v>436813.5409853437</v>
      </c>
      <c r="Z45" s="12">
        <f t="shared" si="4"/>
        <v>705426.9063603978</v>
      </c>
      <c r="AA45" s="12">
        <f t="shared" si="5"/>
        <v>399558.2086806941</v>
      </c>
      <c r="AC45" s="12">
        <f>IF(Dimensions!$D$52="y",Dimensions!$D$53,J45+M45+N45+X45+Z45+AA45)</f>
        <v>2710121.772799492</v>
      </c>
      <c r="AD45" s="12">
        <f t="shared" si="9"/>
        <v>112970457.94489872</v>
      </c>
      <c r="AE45" s="12"/>
      <c r="AF45" s="9">
        <f t="shared" si="15"/>
        <v>0.19670532352841705</v>
      </c>
      <c r="AH45" s="18">
        <f>Dimensions!$D$49</f>
        <v>269000000</v>
      </c>
      <c r="AI45" s="18">
        <f>Dimensions!$D$50*AJ45</f>
        <v>1667368421.0526316</v>
      </c>
      <c r="AJ45" s="17">
        <f t="shared" si="12"/>
        <v>4.631578947368421</v>
      </c>
      <c r="AK45" s="12">
        <f>IF(Dimensions!$D$63="y",Dimensions!$D$64,AH45+AI45)</f>
        <v>0</v>
      </c>
      <c r="AM45" s="105">
        <f>IF(Dimensions!$D$57="y",Dimensions!$D$58,Dimensions!$D$59-((Dimensions!$D$59-Dimensions!$D$60)/109)*(A45-1))</f>
        <v>170.37798165137616</v>
      </c>
      <c r="AN45" s="12">
        <f>LOOKUP(AM45,'Crush Energy'!$A$10:$A$509,'Crush Energy'!$G$10:$G$509)</f>
        <v>2203.339882191057</v>
      </c>
      <c r="AO45" s="12">
        <f>IF(Dimensions!$D$57="y",Dimensions!$D$61,AN45*M45)</f>
        <v>959441390.4112941</v>
      </c>
      <c r="AP45" s="12">
        <f t="shared" si="10"/>
        <v>35107838169.07576</v>
      </c>
    </row>
    <row r="46" spans="1:42" ht="10.5">
      <c r="A46" s="5">
        <f t="shared" si="6"/>
        <v>39</v>
      </c>
      <c r="B46" s="5">
        <f t="shared" si="7"/>
        <v>78</v>
      </c>
      <c r="C46" s="5">
        <f t="shared" si="1"/>
        <v>72</v>
      </c>
      <c r="E46" s="5">
        <v>1</v>
      </c>
      <c r="F46" s="5">
        <v>1</v>
      </c>
      <c r="H46" s="9">
        <f t="shared" si="16"/>
        <v>61.33333333333333</v>
      </c>
      <c r="I46" s="98">
        <f t="shared" si="2"/>
        <v>0.7007672634271099</v>
      </c>
      <c r="J46" s="12">
        <f>Dimensions!$D$40*I46</f>
        <v>545030.3513166461</v>
      </c>
      <c r="K46" s="12">
        <f t="shared" si="8"/>
        <v>12412370.044583473</v>
      </c>
      <c r="M46" s="12">
        <f>LOOKUP(C46,'Concrete Mass'!$B$8:$B$123,'Concrete Mass'!$H$8:$H$123)</f>
        <v>435448.656</v>
      </c>
      <c r="N46" s="12">
        <f>LOOKUP(C46,'Concrete Mass'!$B$8:$B$123,'Concrete Mass'!$O$8:$O$123)</f>
        <v>199779.08065312495</v>
      </c>
      <c r="O46" s="12"/>
      <c r="P46" s="116">
        <f>3.5*Dimensions!$C$105*Dimensions!$D$23</f>
        <v>49379.88344522785</v>
      </c>
      <c r="Q46" s="116">
        <f>15*Dimensions!$C$105*Dimensions!$D$23</f>
        <v>211628.07190811934</v>
      </c>
      <c r="R46" s="116">
        <f>50*Dimensions!$C$105*Dimensions!$D$23</f>
        <v>705426.9063603978</v>
      </c>
      <c r="S46" s="12"/>
      <c r="T46" s="12"/>
      <c r="U46" s="116">
        <f>161.1201*Dimensions!$D$22</f>
        <v>175805.5856319965</v>
      </c>
      <c r="V46" s="116">
        <f>366.1821*Dimensions!$D$22</f>
        <v>399558.2086806941</v>
      </c>
      <c r="X46" s="18">
        <f t="shared" si="3"/>
        <v>436813.5409853437</v>
      </c>
      <c r="Z46" s="12">
        <f t="shared" si="4"/>
        <v>705426.9063603978</v>
      </c>
      <c r="AA46" s="12">
        <f t="shared" si="5"/>
        <v>399558.2086806941</v>
      </c>
      <c r="AC46" s="12">
        <f>IF(Dimensions!$D$52="y",Dimensions!$D$53,J46+M46+N46+X46+Z46+AA46)</f>
        <v>2722056.7439962067</v>
      </c>
      <c r="AD46" s="12">
        <f t="shared" si="9"/>
        <v>115692514.68889493</v>
      </c>
      <c r="AE46" s="12"/>
      <c r="AF46" s="9">
        <f t="shared" si="15"/>
        <v>0.2002274025031881</v>
      </c>
      <c r="AH46" s="18">
        <f>Dimensions!$D$49</f>
        <v>269000000</v>
      </c>
      <c r="AI46" s="18">
        <f>Dimensions!$D$50*AJ46</f>
        <v>1724210526.3157892</v>
      </c>
      <c r="AJ46" s="17">
        <f t="shared" si="12"/>
        <v>4.789473684210526</v>
      </c>
      <c r="AK46" s="12">
        <f>IF(Dimensions!$D$63="y",Dimensions!$D$64,AH46+AI46)</f>
        <v>0</v>
      </c>
      <c r="AM46" s="105">
        <f>IF(Dimensions!$D$57="y",Dimensions!$D$58,Dimensions!$D$59-((Dimensions!$D$59-Dimensions!$D$60)/109)*(A46-1))</f>
        <v>168.84495412844035</v>
      </c>
      <c r="AN46" s="12">
        <f>LOOKUP(AM46,'Crush Energy'!$A$10:$A$509,'Crush Energy'!$G$10:$G$509)</f>
        <v>2229.5701188838084</v>
      </c>
      <c r="AO46" s="12">
        <f>IF(Dimensions!$D$57="y",Dimensions!$D$61,AN46*M46)</f>
        <v>970863311.7257146</v>
      </c>
      <c r="AP46" s="12">
        <f t="shared" si="10"/>
        <v>36078701480.801476</v>
      </c>
    </row>
    <row r="47" spans="1:42" ht="10.5">
      <c r="A47" s="5">
        <f t="shared" si="6"/>
        <v>40</v>
      </c>
      <c r="B47" s="5">
        <f t="shared" si="7"/>
        <v>77</v>
      </c>
      <c r="C47" s="5">
        <f t="shared" si="1"/>
        <v>71</v>
      </c>
      <c r="E47" s="5">
        <v>1</v>
      </c>
      <c r="F47" s="5">
        <v>1</v>
      </c>
      <c r="H47" s="9">
        <f t="shared" si="16"/>
        <v>61.33333333333333</v>
      </c>
      <c r="I47" s="98">
        <f t="shared" si="2"/>
        <v>0.7161125319693095</v>
      </c>
      <c r="J47" s="12">
        <f>Dimensions!$D$40*I47</f>
        <v>556965.322513361</v>
      </c>
      <c r="K47" s="12">
        <f t="shared" si="8"/>
        <v>12969335.367096834</v>
      </c>
      <c r="M47" s="12">
        <f>LOOKUP(C47,'Concrete Mass'!$B$8:$B$123,'Concrete Mass'!$H$8:$H$123)</f>
        <v>435448.656</v>
      </c>
      <c r="N47" s="12">
        <f>LOOKUP(C47,'Concrete Mass'!$B$8:$B$123,'Concrete Mass'!$O$8:$O$123)</f>
        <v>199779.08065312495</v>
      </c>
      <c r="O47" s="12"/>
      <c r="P47" s="116">
        <f>3.5*Dimensions!$C$105*Dimensions!$D$23</f>
        <v>49379.88344522785</v>
      </c>
      <c r="Q47" s="116">
        <f>15*Dimensions!$C$105*Dimensions!$D$23</f>
        <v>211628.07190811934</v>
      </c>
      <c r="R47" s="116">
        <f>50*Dimensions!$C$105*Dimensions!$D$23</f>
        <v>705426.9063603978</v>
      </c>
      <c r="S47" s="12"/>
      <c r="T47" s="12"/>
      <c r="U47" s="116">
        <f>161.1201*Dimensions!$D$22</f>
        <v>175805.5856319965</v>
      </c>
      <c r="V47" s="116">
        <f>366.1821*Dimensions!$D$22</f>
        <v>399558.2086806941</v>
      </c>
      <c r="X47" s="18">
        <f t="shared" si="3"/>
        <v>436813.5409853437</v>
      </c>
      <c r="Z47" s="12">
        <f t="shared" si="4"/>
        <v>705426.9063603978</v>
      </c>
      <c r="AA47" s="12">
        <f t="shared" si="5"/>
        <v>399558.2086806941</v>
      </c>
      <c r="AC47" s="12">
        <f>IF(Dimensions!$D$52="y",Dimensions!$D$53,J47+M47+N47+X47+Z47+AA47)</f>
        <v>2733991.7151929215</v>
      </c>
      <c r="AD47" s="12">
        <f t="shared" si="9"/>
        <v>118426506.40408784</v>
      </c>
      <c r="AE47" s="12"/>
      <c r="AF47" s="9">
        <f t="shared" si="15"/>
        <v>0.20371873090115025</v>
      </c>
      <c r="AH47" s="18">
        <f>Dimensions!$D$49</f>
        <v>269000000</v>
      </c>
      <c r="AI47" s="18">
        <f>Dimensions!$D$50*AJ47</f>
        <v>1781052631.5789475</v>
      </c>
      <c r="AJ47" s="17">
        <f t="shared" si="12"/>
        <v>4.947368421052632</v>
      </c>
      <c r="AK47" s="12">
        <f>IF(Dimensions!$D$63="y",Dimensions!$D$64,AH47+AI47)</f>
        <v>0</v>
      </c>
      <c r="AM47" s="105">
        <f>IF(Dimensions!$D$57="y",Dimensions!$D$58,Dimensions!$D$59-((Dimensions!$D$59-Dimensions!$D$60)/109)*(A47-1))</f>
        <v>167.3119266055046</v>
      </c>
      <c r="AN47" s="12">
        <f>LOOKUP(AM47,'Crush Energy'!$A$10:$A$509,'Crush Energy'!$G$10:$G$509)</f>
        <v>2242.920838158561</v>
      </c>
      <c r="AO47" s="12">
        <f>IF(Dimensions!$D$57="y",Dimensions!$D$61,AN47*M47)</f>
        <v>976676864.4905388</v>
      </c>
      <c r="AP47" s="12">
        <f t="shared" si="10"/>
        <v>37055378345.292015</v>
      </c>
    </row>
    <row r="48" spans="1:42" ht="10.5">
      <c r="A48" s="5">
        <f t="shared" si="6"/>
        <v>41</v>
      </c>
      <c r="B48" s="5">
        <f t="shared" si="7"/>
        <v>76</v>
      </c>
      <c r="C48" s="5">
        <f t="shared" si="1"/>
        <v>70</v>
      </c>
      <c r="E48" s="5">
        <v>1</v>
      </c>
      <c r="F48" s="5">
        <v>1</v>
      </c>
      <c r="H48" s="9">
        <f t="shared" si="16"/>
        <v>61.33333333333333</v>
      </c>
      <c r="I48" s="98">
        <f t="shared" si="2"/>
        <v>0.731457800511509</v>
      </c>
      <c r="J48" s="12">
        <f>Dimensions!$D$40*I48</f>
        <v>568900.2937100759</v>
      </c>
      <c r="K48" s="12">
        <f t="shared" si="8"/>
        <v>13538235.66080691</v>
      </c>
      <c r="M48" s="12">
        <f>LOOKUP(C48,'Concrete Mass'!$B$8:$B$123,'Concrete Mass'!$H$8:$H$123)</f>
        <v>435448.656</v>
      </c>
      <c r="N48" s="12">
        <f>LOOKUP(C48,'Concrete Mass'!$B$8:$B$123,'Concrete Mass'!$O$8:$O$123)</f>
        <v>199779.08065312495</v>
      </c>
      <c r="O48" s="12"/>
      <c r="P48" s="116">
        <f>3.5*Dimensions!$C$105*Dimensions!$D$23</f>
        <v>49379.88344522785</v>
      </c>
      <c r="Q48" s="116">
        <f>15*Dimensions!$C$105*Dimensions!$D$23</f>
        <v>211628.07190811934</v>
      </c>
      <c r="R48" s="116">
        <f>50*Dimensions!$C$105*Dimensions!$D$23</f>
        <v>705426.9063603978</v>
      </c>
      <c r="S48" s="12"/>
      <c r="T48" s="12"/>
      <c r="U48" s="116">
        <f>161.1201*Dimensions!$D$22</f>
        <v>175805.5856319965</v>
      </c>
      <c r="V48" s="116">
        <f>366.1821*Dimensions!$D$22</f>
        <v>399558.2086806941</v>
      </c>
      <c r="X48" s="18">
        <f t="shared" si="3"/>
        <v>436813.5409853437</v>
      </c>
      <c r="Z48" s="12">
        <f t="shared" si="4"/>
        <v>705426.9063603978</v>
      </c>
      <c r="AA48" s="12">
        <f t="shared" si="5"/>
        <v>399558.2086806941</v>
      </c>
      <c r="AC48" s="12">
        <f>IF(Dimensions!$D$52="y",Dimensions!$D$53,J48+M48+N48+X48+Z48+AA48)</f>
        <v>2745926.6863896362</v>
      </c>
      <c r="AD48" s="12">
        <f t="shared" si="9"/>
        <v>121172433.09047748</v>
      </c>
      <c r="AE48" s="12"/>
      <c r="AF48" s="9">
        <f t="shared" si="15"/>
        <v>0.20717970968775937</v>
      </c>
      <c r="AH48" s="18">
        <f>Dimensions!$D$49</f>
        <v>269000000</v>
      </c>
      <c r="AI48" s="18">
        <f>Dimensions!$D$50*AJ48</f>
        <v>1837894736.8421052</v>
      </c>
      <c r="AJ48" s="17">
        <f t="shared" si="12"/>
        <v>5.105263157894736</v>
      </c>
      <c r="AK48" s="12">
        <f>IF(Dimensions!$D$63="y",Dimensions!$D$64,AH48+AI48)</f>
        <v>0</v>
      </c>
      <c r="AM48" s="105">
        <f>IF(Dimensions!$D$57="y",Dimensions!$D$58,Dimensions!$D$59-((Dimensions!$D$59-Dimensions!$D$60)/109)*(A48-1))</f>
        <v>165.7788990825688</v>
      </c>
      <c r="AN48" s="12">
        <f>LOOKUP(AM48,'Crush Energy'!$A$10:$A$509,'Crush Energy'!$G$10:$G$509)</f>
        <v>2270.107757408968</v>
      </c>
      <c r="AO48" s="12">
        <f>IF(Dimensions!$D$57="y",Dimensions!$D$61,AN48*M48)</f>
        <v>988515371.9389093</v>
      </c>
      <c r="AP48" s="12">
        <f t="shared" si="10"/>
        <v>38043893717.23093</v>
      </c>
    </row>
    <row r="49" spans="1:42" ht="10.5">
      <c r="A49" s="5">
        <f t="shared" si="6"/>
        <v>42</v>
      </c>
      <c r="B49" s="5">
        <f t="shared" si="7"/>
        <v>75</v>
      </c>
      <c r="C49" s="5">
        <f t="shared" si="1"/>
        <v>69</v>
      </c>
      <c r="E49" s="5">
        <v>1</v>
      </c>
      <c r="F49" s="5">
        <v>1</v>
      </c>
      <c r="H49" s="9">
        <f t="shared" si="16"/>
        <v>61.33333333333333</v>
      </c>
      <c r="I49" s="98">
        <f t="shared" si="2"/>
        <v>0.7468030690537084</v>
      </c>
      <c r="J49" s="12">
        <f>Dimensions!$D$40*I49</f>
        <v>580835.2649067907</v>
      </c>
      <c r="K49" s="12">
        <f t="shared" si="8"/>
        <v>14119070.9257137</v>
      </c>
      <c r="M49" s="12">
        <f>LOOKUP(C49,'Concrete Mass'!$B$8:$B$123,'Concrete Mass'!$H$8:$H$123)</f>
        <v>435448.656</v>
      </c>
      <c r="N49" s="12">
        <f>LOOKUP(C49,'Concrete Mass'!$B$8:$B$123,'Concrete Mass'!$O$8:$O$123)</f>
        <v>199779.08065312495</v>
      </c>
      <c r="O49" s="12"/>
      <c r="P49" s="116">
        <f>3.5*Dimensions!$C$105*Dimensions!$D$23</f>
        <v>49379.88344522785</v>
      </c>
      <c r="Q49" s="116">
        <f>15*Dimensions!$C$105*Dimensions!$D$23</f>
        <v>211628.07190811934</v>
      </c>
      <c r="R49" s="116">
        <f>50*Dimensions!$C$105*Dimensions!$D$23</f>
        <v>705426.9063603978</v>
      </c>
      <c r="S49" s="12"/>
      <c r="T49" s="12"/>
      <c r="U49" s="116">
        <f>161.1201*Dimensions!$D$22</f>
        <v>175805.5856319965</v>
      </c>
      <c r="V49" s="116">
        <f>366.1821*Dimensions!$D$22</f>
        <v>399558.2086806941</v>
      </c>
      <c r="X49" s="18">
        <f t="shared" si="3"/>
        <v>436813.5409853437</v>
      </c>
      <c r="Z49" s="12">
        <f t="shared" si="4"/>
        <v>705426.9063603978</v>
      </c>
      <c r="AA49" s="12">
        <f t="shared" si="5"/>
        <v>399558.2086806941</v>
      </c>
      <c r="AC49" s="12">
        <f>IF(Dimensions!$D$52="y",Dimensions!$D$53,J49+M49+N49+X49+Z49+AA49)</f>
        <v>2757861.657586351</v>
      </c>
      <c r="AD49" s="12">
        <f t="shared" si="9"/>
        <v>123930294.74806383</v>
      </c>
      <c r="AE49" s="12"/>
      <c r="AF49" s="9">
        <f t="shared" si="15"/>
        <v>0.21061073288757023</v>
      </c>
      <c r="AH49" s="18">
        <f>Dimensions!$D$49</f>
        <v>269000000</v>
      </c>
      <c r="AI49" s="18">
        <f>Dimensions!$D$50*AJ49</f>
        <v>1894736842.105263</v>
      </c>
      <c r="AJ49" s="17">
        <f t="shared" si="12"/>
        <v>5.263157894736842</v>
      </c>
      <c r="AK49" s="12">
        <f>IF(Dimensions!$D$63="y",Dimensions!$D$64,AH49+AI49)</f>
        <v>0</v>
      </c>
      <c r="AM49" s="105">
        <f>IF(Dimensions!$D$57="y",Dimensions!$D$58,Dimensions!$D$59-((Dimensions!$D$59-Dimensions!$D$60)/109)*(A49-1))</f>
        <v>164.24587155963303</v>
      </c>
      <c r="AN49" s="12">
        <f>LOOKUP(AM49,'Crush Energy'!$A$10:$A$509,'Crush Energy'!$G$10:$G$509)</f>
        <v>2283.949877880974</v>
      </c>
      <c r="AO49" s="12">
        <f>IF(Dimensions!$D$57="y",Dimensions!$D$61,AN49*M49)</f>
        <v>994542904.6946342</v>
      </c>
      <c r="AP49" s="12">
        <f t="shared" si="10"/>
        <v>39038436621.92556</v>
      </c>
    </row>
    <row r="50" spans="1:42" ht="10.5">
      <c r="A50" s="5">
        <f t="shared" si="6"/>
        <v>43</v>
      </c>
      <c r="B50" s="5">
        <f t="shared" si="7"/>
        <v>74</v>
      </c>
      <c r="C50" s="5">
        <f t="shared" si="1"/>
        <v>68</v>
      </c>
      <c r="E50" s="5">
        <v>1</v>
      </c>
      <c r="F50" s="5">
        <v>1</v>
      </c>
      <c r="H50" s="9">
        <f t="shared" si="16"/>
        <v>61.33333333333333</v>
      </c>
      <c r="I50" s="98">
        <f t="shared" si="2"/>
        <v>0.7621483375959079</v>
      </c>
      <c r="J50" s="12">
        <f>Dimensions!$D$40*I50</f>
        <v>592770.2361035056</v>
      </c>
      <c r="K50" s="12">
        <f t="shared" si="8"/>
        <v>14711841.161817204</v>
      </c>
      <c r="M50" s="12">
        <f>LOOKUP(C50,'Concrete Mass'!$B$8:$B$123,'Concrete Mass'!$H$8:$H$123)</f>
        <v>435448.656</v>
      </c>
      <c r="N50" s="12">
        <f>LOOKUP(C50,'Concrete Mass'!$B$8:$B$123,'Concrete Mass'!$O$8:$O$123)</f>
        <v>199779.08065312495</v>
      </c>
      <c r="O50" s="12"/>
      <c r="P50" s="116">
        <f>3.5*Dimensions!$C$105*Dimensions!$D$23</f>
        <v>49379.88344522785</v>
      </c>
      <c r="Q50" s="116">
        <f>15*Dimensions!$C$105*Dimensions!$D$23</f>
        <v>211628.07190811934</v>
      </c>
      <c r="R50" s="116">
        <f>50*Dimensions!$C$105*Dimensions!$D$23</f>
        <v>705426.9063603978</v>
      </c>
      <c r="S50" s="12"/>
      <c r="T50" s="12"/>
      <c r="U50" s="116">
        <f>161.1201*Dimensions!$D$22</f>
        <v>175805.5856319965</v>
      </c>
      <c r="V50" s="116">
        <f>366.1821*Dimensions!$D$22</f>
        <v>399558.2086806941</v>
      </c>
      <c r="X50" s="18">
        <f t="shared" si="3"/>
        <v>436813.5409853437</v>
      </c>
      <c r="Z50" s="12">
        <f t="shared" si="4"/>
        <v>705426.9063603978</v>
      </c>
      <c r="AA50" s="12">
        <f t="shared" si="5"/>
        <v>399558.2086806941</v>
      </c>
      <c r="AC50" s="12">
        <f>IF(Dimensions!$D$52="y",Dimensions!$D$53,J50+M50+N50+X50+Z50+AA50)</f>
        <v>2769796.628783066</v>
      </c>
      <c r="AD50" s="12">
        <f t="shared" si="9"/>
        <v>126700091.3768469</v>
      </c>
      <c r="AE50" s="12"/>
      <c r="AF50" s="9">
        <f t="shared" si="15"/>
        <v>0.21401218773377753</v>
      </c>
      <c r="AH50" s="18">
        <f>Dimensions!$D$49</f>
        <v>269000000</v>
      </c>
      <c r="AI50" s="18">
        <f>Dimensions!$D$50*AJ50</f>
        <v>1951578947.3684208</v>
      </c>
      <c r="AJ50" s="17">
        <f t="shared" si="12"/>
        <v>5.421052631578947</v>
      </c>
      <c r="AK50" s="12">
        <f>IF(Dimensions!$D$63="y",Dimensions!$D$64,AH50+AI50)</f>
        <v>0</v>
      </c>
      <c r="AM50" s="105">
        <f>IF(Dimensions!$D$57="y",Dimensions!$D$58,Dimensions!$D$59-((Dimensions!$D$59-Dimensions!$D$60)/109)*(A50-1))</f>
        <v>162.71284403669725</v>
      </c>
      <c r="AN50" s="12">
        <f>LOOKUP(AM50,'Crush Energy'!$A$10:$A$509,'Crush Energy'!$G$10:$G$509)</f>
        <v>2312.146789953578</v>
      </c>
      <c r="AO50" s="12">
        <f>IF(Dimensions!$D$57="y",Dimensions!$D$61,AN50*M50)</f>
        <v>1006821212.1599998</v>
      </c>
      <c r="AP50" s="12">
        <f t="shared" si="10"/>
        <v>40045257834.085556</v>
      </c>
    </row>
    <row r="51" spans="1:42" ht="10.5">
      <c r="A51" s="5">
        <f t="shared" si="6"/>
        <v>44</v>
      </c>
      <c r="B51" s="5">
        <f t="shared" si="7"/>
        <v>73</v>
      </c>
      <c r="C51" s="5">
        <f t="shared" si="1"/>
        <v>67</v>
      </c>
      <c r="E51" s="34">
        <v>6</v>
      </c>
      <c r="F51" s="34">
        <v>1</v>
      </c>
      <c r="H51" s="9">
        <f t="shared" si="16"/>
        <v>61.33333333333333</v>
      </c>
      <c r="I51" s="98">
        <f t="shared" si="2"/>
        <v>0.7774936061381074</v>
      </c>
      <c r="J51" s="12">
        <f>Dimensions!$D$40*I51</f>
        <v>604705.2073002205</v>
      </c>
      <c r="K51" s="12">
        <f t="shared" si="8"/>
        <v>15316546.369117424</v>
      </c>
      <c r="M51" s="12">
        <f>LOOKUP(C51,'Concrete Mass'!$B$8:$B$123,'Concrete Mass'!$H$8:$H$123)</f>
        <v>435448.656</v>
      </c>
      <c r="N51" s="12">
        <f>LOOKUP(C51,'Concrete Mass'!$B$8:$B$123,'Concrete Mass'!$O$8:$O$123)</f>
        <v>199779.08065312495</v>
      </c>
      <c r="O51" s="12"/>
      <c r="P51" s="118">
        <f>17.0885*Dimensions!$D$23</f>
        <v>49379.88922454016</v>
      </c>
      <c r="Q51" s="118">
        <f>73.2364*Dimensions!$D$23</f>
        <v>211628.01411499624</v>
      </c>
      <c r="R51" s="118">
        <f>244.1214*Dimensions!$D$23</f>
        <v>705426.9063603978</v>
      </c>
      <c r="S51" s="12"/>
      <c r="T51" s="12"/>
      <c r="U51" s="118">
        <f>161.1201*Dimensions!$D$22</f>
        <v>175805.5856319965</v>
      </c>
      <c r="V51" s="118">
        <f>366.1821*Dimensions!$D$22</f>
        <v>399558.2086806941</v>
      </c>
      <c r="X51" s="18">
        <f t="shared" si="3"/>
        <v>436813.4889715329</v>
      </c>
      <c r="Z51" s="12">
        <f t="shared" si="4"/>
        <v>705426.9063603978</v>
      </c>
      <c r="AA51" s="12">
        <f t="shared" si="5"/>
        <v>399558.2086806941</v>
      </c>
      <c r="AC51" s="12">
        <f>IF(Dimensions!$D$52="y",Dimensions!$D$53,J51+M51+N51+X51+Z51+AA51)</f>
        <v>2781731.54796597</v>
      </c>
      <c r="AD51" s="12">
        <f t="shared" si="9"/>
        <v>129481822.92481287</v>
      </c>
      <c r="AE51" s="12"/>
      <c r="AF51" s="9">
        <f t="shared" si="15"/>
        <v>0.21738445887863875</v>
      </c>
      <c r="AH51" s="18">
        <f>Dimensions!$D$49</f>
        <v>269000000</v>
      </c>
      <c r="AI51" s="18">
        <f>Dimensions!$D$50*AJ51</f>
        <v>2008421052.6315787</v>
      </c>
      <c r="AJ51" s="17">
        <f t="shared" si="12"/>
        <v>5.578947368421052</v>
      </c>
      <c r="AK51" s="12">
        <f>IF(Dimensions!$D$63="y",Dimensions!$D$64,AH51+AI51)</f>
        <v>0</v>
      </c>
      <c r="AM51" s="105">
        <f>IF(Dimensions!$D$57="y",Dimensions!$D$58,Dimensions!$D$59-((Dimensions!$D$59-Dimensions!$D$60)/109)*(A51-1))</f>
        <v>161.17981651376147</v>
      </c>
      <c r="AN51" s="12">
        <f>LOOKUP(AM51,'Crush Energy'!$A$10:$A$509,'Crush Energy'!$G$10:$G$509)</f>
        <v>2326.507950139625</v>
      </c>
      <c r="AO51" s="12">
        <f>IF(Dimensions!$D$57="y",Dimensions!$D$61,AN51*M51)</f>
        <v>1013074760.0616148</v>
      </c>
      <c r="AP51" s="12">
        <f t="shared" si="10"/>
        <v>41058332594.14717</v>
      </c>
    </row>
    <row r="52" spans="1:42" ht="10.5">
      <c r="A52" s="5">
        <f t="shared" si="6"/>
        <v>45</v>
      </c>
      <c r="B52" s="5">
        <f t="shared" si="7"/>
        <v>72</v>
      </c>
      <c r="C52" s="5">
        <f t="shared" si="1"/>
        <v>66</v>
      </c>
      <c r="E52" s="5">
        <v>1</v>
      </c>
      <c r="F52" s="5">
        <v>1</v>
      </c>
      <c r="H52" s="9">
        <f t="shared" si="16"/>
        <v>61.33333333333333</v>
      </c>
      <c r="I52" s="98">
        <f t="shared" si="2"/>
        <v>0.7928388746803069</v>
      </c>
      <c r="J52" s="12">
        <f>Dimensions!$D$40*I52</f>
        <v>616640.1784969354</v>
      </c>
      <c r="K52" s="12">
        <f t="shared" si="8"/>
        <v>15933186.547614358</v>
      </c>
      <c r="M52" s="12">
        <f>LOOKUP(C52,'Concrete Mass'!$B$8:$B$123,'Concrete Mass'!$H$8:$H$123)</f>
        <v>435448.656</v>
      </c>
      <c r="N52" s="12">
        <f>LOOKUP(C52,'Concrete Mass'!$B$8:$B$123,'Concrete Mass'!$O$8:$O$123)</f>
        <v>199779.08065312495</v>
      </c>
      <c r="O52" s="12"/>
      <c r="P52" s="116">
        <f>3.5*Dimensions!$C$105*Dimensions!$D$23</f>
        <v>49379.88344522785</v>
      </c>
      <c r="Q52" s="116">
        <f>15*Dimensions!$C$105*Dimensions!$D$23</f>
        <v>211628.07190811934</v>
      </c>
      <c r="R52" s="116">
        <f>50*Dimensions!$C$105*Dimensions!$D$23</f>
        <v>705426.9063603978</v>
      </c>
      <c r="S52" s="12"/>
      <c r="T52" s="12"/>
      <c r="U52" s="116">
        <f>161.1201*Dimensions!$D$22</f>
        <v>175805.5856319965</v>
      </c>
      <c r="V52" s="116">
        <f>366.1821*Dimensions!$D$22</f>
        <v>399558.2086806941</v>
      </c>
      <c r="X52" s="18">
        <f t="shared" si="3"/>
        <v>436813.5409853437</v>
      </c>
      <c r="Z52" s="12">
        <f t="shared" si="4"/>
        <v>705426.9063603978</v>
      </c>
      <c r="AA52" s="12">
        <f t="shared" si="5"/>
        <v>399558.2086806941</v>
      </c>
      <c r="AC52" s="12">
        <f>IF(Dimensions!$D$52="y",Dimensions!$D$53,J52+M52+N52+X52+Z52+AA52)</f>
        <v>2793666.571176496</v>
      </c>
      <c r="AD52" s="12">
        <f t="shared" si="9"/>
        <v>132275489.49598937</v>
      </c>
      <c r="AE52" s="12"/>
      <c r="AF52" s="9">
        <f t="shared" si="15"/>
        <v>0.22072790821176985</v>
      </c>
      <c r="AH52" s="18">
        <f>Dimensions!$D$49</f>
        <v>269000000</v>
      </c>
      <c r="AI52" s="18">
        <f>Dimensions!$D$50*AJ52</f>
        <v>2065263157.8947368</v>
      </c>
      <c r="AJ52" s="17">
        <f t="shared" si="12"/>
        <v>5.7368421052631575</v>
      </c>
      <c r="AK52" s="12">
        <f>IF(Dimensions!$D$63="y",Dimensions!$D$64,AH52+AI52)</f>
        <v>0</v>
      </c>
      <c r="AM52" s="105">
        <f>IF(Dimensions!$D$57="y",Dimensions!$D$58,Dimensions!$D$59-((Dimensions!$D$59-Dimensions!$D$60)/109)*(A52-1))</f>
        <v>159.64678899082568</v>
      </c>
      <c r="AN52" s="12">
        <f>LOOKUP(AM52,'Crush Energy'!$A$10:$A$509,'Crush Energy'!$G$10:$G$509)</f>
        <v>2355.7722010847774</v>
      </c>
      <c r="AO52" s="12">
        <f>IF(Dimensions!$D$57="y",Dimensions!$D$61,AN52*M52)</f>
        <v>1025817838.8045281</v>
      </c>
      <c r="AP52" s="12">
        <f t="shared" si="10"/>
        <v>42084150432.9517</v>
      </c>
    </row>
    <row r="53" spans="1:42" ht="10.5">
      <c r="A53" s="5">
        <f t="shared" si="6"/>
        <v>46</v>
      </c>
      <c r="B53" s="5">
        <f t="shared" si="7"/>
        <v>71</v>
      </c>
      <c r="C53" s="5">
        <f t="shared" si="1"/>
        <v>65</v>
      </c>
      <c r="E53" s="5">
        <v>1</v>
      </c>
      <c r="F53" s="5">
        <v>1</v>
      </c>
      <c r="H53" s="9">
        <f>$H$8+(($H$117-$H$8)/12)*5</f>
        <v>66.16666666666666</v>
      </c>
      <c r="I53" s="98">
        <f t="shared" si="2"/>
        <v>0.8081841432225064</v>
      </c>
      <c r="J53" s="12">
        <f>Dimensions!$D$40*I53</f>
        <v>628575.1496936503</v>
      </c>
      <c r="K53" s="12">
        <f t="shared" si="8"/>
        <v>16561761.69730801</v>
      </c>
      <c r="M53" s="12">
        <f>LOOKUP(C53,'Concrete Mass'!$B$8:$B$123,'Concrete Mass'!$H$8:$H$123)</f>
        <v>435448.656</v>
      </c>
      <c r="N53" s="12">
        <f>LOOKUP(C53,'Concrete Mass'!$B$8:$B$123,'Concrete Mass'!$O$8:$O$123)</f>
        <v>199779.08065312495</v>
      </c>
      <c r="O53" s="12"/>
      <c r="P53" s="116">
        <f>3.5*Dimensions!$C$105*Dimensions!$D$23</f>
        <v>49379.88344522785</v>
      </c>
      <c r="Q53" s="116">
        <f>15*Dimensions!$C$105*Dimensions!$D$23</f>
        <v>211628.07190811934</v>
      </c>
      <c r="R53" s="116">
        <f>50*Dimensions!$C$105*Dimensions!$D$23</f>
        <v>705426.9063603978</v>
      </c>
      <c r="S53" s="12"/>
      <c r="T53" s="12"/>
      <c r="U53" s="116">
        <f>161.1201*Dimensions!$D$22</f>
        <v>175805.5856319965</v>
      </c>
      <c r="V53" s="116">
        <f>366.1821*Dimensions!$D$22</f>
        <v>399558.2086806941</v>
      </c>
      <c r="X53" s="18">
        <f t="shared" si="3"/>
        <v>436813.5409853437</v>
      </c>
      <c r="Z53" s="12">
        <f t="shared" si="4"/>
        <v>705426.9063603978</v>
      </c>
      <c r="AA53" s="12">
        <f t="shared" si="5"/>
        <v>399558.2086806941</v>
      </c>
      <c r="AC53" s="12">
        <f>IF(Dimensions!$D$52="y",Dimensions!$D$53,J53+M53+N53+X53+Z53+AA53)</f>
        <v>2805601.542373211</v>
      </c>
      <c r="AD53" s="12">
        <f t="shared" si="9"/>
        <v>135081091.0383626</v>
      </c>
      <c r="AE53" s="12"/>
      <c r="AF53" s="9">
        <f t="shared" si="15"/>
        <v>0.22404291564580092</v>
      </c>
      <c r="AH53" s="18">
        <f>Dimensions!$D$49</f>
        <v>269000000</v>
      </c>
      <c r="AI53" s="18">
        <f>Dimensions!$D$50*AJ53</f>
        <v>2122105263.1578946</v>
      </c>
      <c r="AJ53" s="17">
        <f t="shared" si="12"/>
        <v>5.894736842105263</v>
      </c>
      <c r="AK53" s="12">
        <f>IF(Dimensions!$D$63="y",Dimensions!$D$64,AH53+AI53)</f>
        <v>0</v>
      </c>
      <c r="AM53" s="105">
        <f>IF(Dimensions!$D$57="y",Dimensions!$D$58,Dimensions!$D$59-((Dimensions!$D$59-Dimensions!$D$60)/109)*(A53-1))</f>
        <v>158.1137614678899</v>
      </c>
      <c r="AN53" s="12">
        <f>LOOKUP(AM53,'Crush Energy'!$A$10:$A$509,'Crush Energy'!$G$10:$G$509)</f>
        <v>2370.6821517245553</v>
      </c>
      <c r="AO53" s="12">
        <f>IF(Dimensions!$D$57="y",Dimensions!$D$61,AN53*M53)</f>
        <v>1032310356.7716458</v>
      </c>
      <c r="AP53" s="12">
        <f t="shared" si="10"/>
        <v>43116460789.72334</v>
      </c>
    </row>
    <row r="54" spans="1:42" ht="10.5">
      <c r="A54" s="5">
        <f t="shared" si="6"/>
        <v>47</v>
      </c>
      <c r="B54" s="5">
        <f t="shared" si="7"/>
        <v>70</v>
      </c>
      <c r="C54" s="5">
        <f t="shared" si="1"/>
        <v>64</v>
      </c>
      <c r="E54" s="5">
        <v>1</v>
      </c>
      <c r="F54" s="5">
        <v>1</v>
      </c>
      <c r="H54" s="9">
        <f aca="true" t="shared" si="17" ref="H54:H61">$H$8+(($H$117-$H$8)/12)*5</f>
        <v>66.16666666666666</v>
      </c>
      <c r="I54" s="98">
        <f t="shared" si="2"/>
        <v>0.8235294117647058</v>
      </c>
      <c r="J54" s="12">
        <f>Dimensions!$D$40*I54</f>
        <v>640510.1208903651</v>
      </c>
      <c r="K54" s="12">
        <f t="shared" si="8"/>
        <v>17202271.818198375</v>
      </c>
      <c r="M54" s="12">
        <f>LOOKUP(C54,'Concrete Mass'!$B$8:$B$123,'Concrete Mass'!$H$8:$H$123)</f>
        <v>435448.656</v>
      </c>
      <c r="N54" s="12">
        <f>LOOKUP(C54,'Concrete Mass'!$B$8:$B$123,'Concrete Mass'!$O$8:$O$123)</f>
        <v>199779.08065312495</v>
      </c>
      <c r="O54" s="12"/>
      <c r="P54" s="116">
        <f>3.5*Dimensions!$C$105*Dimensions!$D$23</f>
        <v>49379.88344522785</v>
      </c>
      <c r="Q54" s="116">
        <f>15*Dimensions!$C$105*Dimensions!$D$23</f>
        <v>211628.07190811934</v>
      </c>
      <c r="R54" s="116">
        <f>50*Dimensions!$C$105*Dimensions!$D$23</f>
        <v>705426.9063603978</v>
      </c>
      <c r="S54" s="12"/>
      <c r="T54" s="12"/>
      <c r="U54" s="116">
        <f>161.1201*Dimensions!$D$22</f>
        <v>175805.5856319965</v>
      </c>
      <c r="V54" s="116">
        <f>366.1821*Dimensions!$D$22</f>
        <v>399558.2086806941</v>
      </c>
      <c r="X54" s="18">
        <f t="shared" si="3"/>
        <v>436813.5409853437</v>
      </c>
      <c r="Z54" s="12">
        <f t="shared" si="4"/>
        <v>705426.9063603978</v>
      </c>
      <c r="AA54" s="12">
        <f t="shared" si="5"/>
        <v>399558.2086806941</v>
      </c>
      <c r="AC54" s="12">
        <f>IF(Dimensions!$D$52="y",Dimensions!$D$53,J54+M54+N54+X54+Z54+AA54)</f>
        <v>2817536.513569926</v>
      </c>
      <c r="AD54" s="12">
        <f t="shared" si="9"/>
        <v>137898627.5519325</v>
      </c>
      <c r="AE54" s="12"/>
      <c r="AF54" s="9">
        <f t="shared" si="15"/>
        <v>0.22732983860387115</v>
      </c>
      <c r="AH54" s="18">
        <f>Dimensions!$D$49</f>
        <v>269000000</v>
      </c>
      <c r="AI54" s="18">
        <f>Dimensions!$D$50*AJ54</f>
        <v>2178947368.4210525</v>
      </c>
      <c r="AJ54" s="17">
        <f t="shared" si="12"/>
        <v>6.052631578947368</v>
      </c>
      <c r="AK54" s="12">
        <f>IF(Dimensions!$D$63="y",Dimensions!$D$64,AH54+AI54)</f>
        <v>0</v>
      </c>
      <c r="AM54" s="105">
        <f>IF(Dimensions!$D$57="y",Dimensions!$D$58,Dimensions!$D$59-((Dimensions!$D$59-Dimensions!$D$60)/109)*(A54-1))</f>
        <v>156.58073394495415</v>
      </c>
      <c r="AN54" s="12">
        <f>LOOKUP(AM54,'Crush Energy'!$A$10:$A$509,'Crush Energy'!$G$10:$G$509)</f>
        <v>2401.0755126441004</v>
      </c>
      <c r="AO54" s="12">
        <f>IF(Dimensions!$D$57="y",Dimensions!$D$61,AN54*M54)</f>
        <v>1045545104.9353845</v>
      </c>
      <c r="AP54" s="12">
        <f t="shared" si="10"/>
        <v>44162005894.65873</v>
      </c>
    </row>
    <row r="55" spans="1:42" ht="10.5">
      <c r="A55" s="5">
        <f t="shared" si="6"/>
        <v>48</v>
      </c>
      <c r="B55" s="5">
        <f t="shared" si="7"/>
        <v>69</v>
      </c>
      <c r="C55" s="5">
        <f t="shared" si="1"/>
        <v>63</v>
      </c>
      <c r="E55" s="5">
        <v>1</v>
      </c>
      <c r="F55" s="5">
        <v>1</v>
      </c>
      <c r="H55" s="9">
        <f t="shared" si="17"/>
        <v>66.16666666666666</v>
      </c>
      <c r="I55" s="98">
        <f t="shared" si="2"/>
        <v>0.8388746803069054</v>
      </c>
      <c r="J55" s="12">
        <f>Dimensions!$D$40*I55</f>
        <v>652445.09208708</v>
      </c>
      <c r="K55" s="12">
        <f t="shared" si="8"/>
        <v>17854716.910285454</v>
      </c>
      <c r="M55" s="12">
        <f>LOOKUP(C55,'Concrete Mass'!$B$8:$B$123,'Concrete Mass'!$H$8:$H$123)</f>
        <v>435448.656</v>
      </c>
      <c r="N55" s="12">
        <f>LOOKUP(C55,'Concrete Mass'!$B$8:$B$123,'Concrete Mass'!$O$8:$O$123)</f>
        <v>199779.08065312495</v>
      </c>
      <c r="O55" s="12"/>
      <c r="P55" s="116">
        <f>3.5*Dimensions!$C$105*Dimensions!$D$23</f>
        <v>49379.88344522785</v>
      </c>
      <c r="Q55" s="116">
        <f>15*Dimensions!$C$105*Dimensions!$D$23</f>
        <v>211628.07190811934</v>
      </c>
      <c r="R55" s="116">
        <f>50*Dimensions!$C$105*Dimensions!$D$23</f>
        <v>705426.9063603978</v>
      </c>
      <c r="S55" s="12"/>
      <c r="T55" s="12"/>
      <c r="U55" s="116">
        <f>161.1201*Dimensions!$D$22</f>
        <v>175805.5856319965</v>
      </c>
      <c r="V55" s="116">
        <f>366.1821*Dimensions!$D$22</f>
        <v>399558.2086806941</v>
      </c>
      <c r="X55" s="18">
        <f t="shared" si="3"/>
        <v>436813.5409853437</v>
      </c>
      <c r="Z55" s="12">
        <f t="shared" si="4"/>
        <v>705426.9063603978</v>
      </c>
      <c r="AA55" s="12">
        <f t="shared" si="5"/>
        <v>399558.2086806941</v>
      </c>
      <c r="AC55" s="12">
        <f>IF(Dimensions!$D$52="y",Dimensions!$D$53,J55+M55+N55+X55+Z55+AA55)</f>
        <v>2829471.4847666407</v>
      </c>
      <c r="AD55" s="12">
        <f t="shared" si="9"/>
        <v>140728099.03669915</v>
      </c>
      <c r="AE55" s="12"/>
      <c r="AF55" s="9">
        <f t="shared" si="15"/>
        <v>0.23058903247469556</v>
      </c>
      <c r="AH55" s="18">
        <f>Dimensions!$D$49</f>
        <v>269000000</v>
      </c>
      <c r="AI55" s="18">
        <f>Dimensions!$D$50*AJ55</f>
        <v>2235789473.6842103</v>
      </c>
      <c r="AJ55" s="17">
        <f t="shared" si="12"/>
        <v>6.2105263157894735</v>
      </c>
      <c r="AK55" s="12">
        <f>IF(Dimensions!$D$63="y",Dimensions!$D$64,AH55+AI55)</f>
        <v>0</v>
      </c>
      <c r="AM55" s="105">
        <f>IF(Dimensions!$D$57="y",Dimensions!$D$58,Dimensions!$D$59-((Dimensions!$D$59-Dimensions!$D$60)/109)*(A55-1))</f>
        <v>155.04770642201834</v>
      </c>
      <c r="AN55" s="12">
        <f>LOOKUP(AM55,'Crush Energy'!$A$10:$A$509,'Crush Energy'!$G$10:$G$509)</f>
        <v>2416.5663224030945</v>
      </c>
      <c r="AO55" s="12">
        <f>IF(Dimensions!$D$57="y",Dimensions!$D$61,AN55*M55)</f>
        <v>1052290557.2252903</v>
      </c>
      <c r="AP55" s="12">
        <f t="shared" si="10"/>
        <v>45214296451.88402</v>
      </c>
    </row>
    <row r="56" spans="1:42" ht="10.5">
      <c r="A56" s="5">
        <f t="shared" si="6"/>
        <v>49</v>
      </c>
      <c r="B56" s="5">
        <f t="shared" si="7"/>
        <v>68</v>
      </c>
      <c r="C56" s="5">
        <f t="shared" si="1"/>
        <v>62</v>
      </c>
      <c r="E56" s="5">
        <v>1</v>
      </c>
      <c r="F56" s="5">
        <v>1</v>
      </c>
      <c r="H56" s="9">
        <f t="shared" si="17"/>
        <v>66.16666666666666</v>
      </c>
      <c r="I56" s="98">
        <f t="shared" si="2"/>
        <v>0.8542199488491049</v>
      </c>
      <c r="J56" s="12">
        <f>Dimensions!$D$40*I56</f>
        <v>664380.0632837949</v>
      </c>
      <c r="K56" s="12">
        <f t="shared" si="8"/>
        <v>18519096.973569248</v>
      </c>
      <c r="M56" s="12">
        <f>LOOKUP(C56,'Concrete Mass'!$B$8:$B$123,'Concrete Mass'!$H$8:$H$123)</f>
        <v>435448.656</v>
      </c>
      <c r="N56" s="12">
        <f>LOOKUP(C56,'Concrete Mass'!$B$8:$B$123,'Concrete Mass'!$O$8:$O$123)</f>
        <v>199779.08065312495</v>
      </c>
      <c r="O56" s="12"/>
      <c r="P56" s="116">
        <f>3.5*Dimensions!$C$105*Dimensions!$D$23</f>
        <v>49379.88344522785</v>
      </c>
      <c r="Q56" s="116">
        <f>15*Dimensions!$C$105*Dimensions!$D$23</f>
        <v>211628.07190811934</v>
      </c>
      <c r="R56" s="116">
        <f>50*Dimensions!$C$105*Dimensions!$D$23</f>
        <v>705426.9063603978</v>
      </c>
      <c r="S56" s="12"/>
      <c r="T56" s="12"/>
      <c r="U56" s="116">
        <f>161.1201*Dimensions!$D$22</f>
        <v>175805.5856319965</v>
      </c>
      <c r="V56" s="116">
        <f>366.1821*Dimensions!$D$22</f>
        <v>399558.2086806941</v>
      </c>
      <c r="X56" s="18">
        <f t="shared" si="3"/>
        <v>436813.5409853437</v>
      </c>
      <c r="Z56" s="12">
        <f t="shared" si="4"/>
        <v>705426.9063603978</v>
      </c>
      <c r="AA56" s="12">
        <f t="shared" si="5"/>
        <v>399558.2086806941</v>
      </c>
      <c r="AC56" s="12">
        <f>IF(Dimensions!$D$52="y",Dimensions!$D$53,J56+M56+N56+X56+Z56+AA56)</f>
        <v>2841406.4559633555</v>
      </c>
      <c r="AD56" s="12">
        <f t="shared" si="9"/>
        <v>143569505.4926625</v>
      </c>
      <c r="AE56" s="12"/>
      <c r="AF56" s="9">
        <f t="shared" si="15"/>
        <v>0.2338208466759263</v>
      </c>
      <c r="AH56" s="18">
        <f>Dimensions!$D$49</f>
        <v>269000000</v>
      </c>
      <c r="AI56" s="18">
        <f>Dimensions!$D$50*AJ56</f>
        <v>2292631578.947368</v>
      </c>
      <c r="AJ56" s="17">
        <f t="shared" si="12"/>
        <v>6.368421052631579</v>
      </c>
      <c r="AK56" s="12">
        <f>IF(Dimensions!$D$63="y",Dimensions!$D$64,AH56+AI56)</f>
        <v>0</v>
      </c>
      <c r="AM56" s="105">
        <f>IF(Dimensions!$D$57="y",Dimensions!$D$58,Dimensions!$D$59-((Dimensions!$D$59-Dimensions!$D$60)/109)*(A56-1))</f>
        <v>153.51467889908258</v>
      </c>
      <c r="AN56" s="12">
        <f>LOOKUP(AM56,'Crush Energy'!$A$10:$A$509,'Crush Energy'!$G$10:$G$509)</f>
        <v>2448.15542465673</v>
      </c>
      <c r="AO56" s="12">
        <f>IF(Dimensions!$D$57="y",Dimensions!$D$61,AN56*M56)</f>
        <v>1066045989.3458823</v>
      </c>
      <c r="AP56" s="12">
        <f t="shared" si="10"/>
        <v>46280342441.2299</v>
      </c>
    </row>
    <row r="57" spans="1:42" ht="10.5">
      <c r="A57" s="5">
        <f t="shared" si="6"/>
        <v>50</v>
      </c>
      <c r="B57" s="5">
        <f t="shared" si="7"/>
        <v>67</v>
      </c>
      <c r="C57" s="5">
        <f t="shared" si="1"/>
        <v>61</v>
      </c>
      <c r="E57" s="5">
        <v>1</v>
      </c>
      <c r="F57" s="5">
        <v>1</v>
      </c>
      <c r="H57" s="9">
        <f t="shared" si="17"/>
        <v>66.16666666666666</v>
      </c>
      <c r="I57" s="98">
        <f t="shared" si="2"/>
        <v>0.8695652173913043</v>
      </c>
      <c r="J57" s="12">
        <f>Dimensions!$D$40*I57</f>
        <v>676315.0344805097</v>
      </c>
      <c r="K57" s="12">
        <f t="shared" si="8"/>
        <v>19195412.008049756</v>
      </c>
      <c r="M57" s="12">
        <f>LOOKUP(C57,'Concrete Mass'!$B$8:$B$123,'Concrete Mass'!$H$8:$H$123)</f>
        <v>435448.656</v>
      </c>
      <c r="N57" s="12">
        <f>LOOKUP(C57,'Concrete Mass'!$B$8:$B$123,'Concrete Mass'!$O$8:$O$123)</f>
        <v>199779.08065312495</v>
      </c>
      <c r="O57" s="12"/>
      <c r="P57" s="116">
        <f>3.5*Dimensions!$C$105*Dimensions!$D$23</f>
        <v>49379.88344522785</v>
      </c>
      <c r="Q57" s="116">
        <f>15*Dimensions!$C$105*Dimensions!$D$23</f>
        <v>211628.07190811934</v>
      </c>
      <c r="R57" s="116">
        <f>50*Dimensions!$C$105*Dimensions!$D$23</f>
        <v>705426.9063603978</v>
      </c>
      <c r="S57" s="12"/>
      <c r="T57" s="12"/>
      <c r="U57" s="116">
        <f>161.1201*Dimensions!$D$22</f>
        <v>175805.5856319965</v>
      </c>
      <c r="V57" s="116">
        <f>366.1821*Dimensions!$D$22</f>
        <v>399558.2086806941</v>
      </c>
      <c r="X57" s="18">
        <f t="shared" si="3"/>
        <v>436813.5409853437</v>
      </c>
      <c r="Z57" s="12">
        <f t="shared" si="4"/>
        <v>705426.9063603978</v>
      </c>
      <c r="AA57" s="12">
        <f t="shared" si="5"/>
        <v>399558.2086806941</v>
      </c>
      <c r="AC57" s="12">
        <f>IF(Dimensions!$D$52="y",Dimensions!$D$53,J57+M57+N57+X57+Z57+AA57)</f>
        <v>2853341.4271600703</v>
      </c>
      <c r="AD57" s="12">
        <f t="shared" si="9"/>
        <v>146422846.91982257</v>
      </c>
      <c r="AE57" s="12"/>
      <c r="AF57" s="9">
        <f t="shared" si="15"/>
        <v>0.23702562477903172</v>
      </c>
      <c r="AH57" s="18">
        <f>Dimensions!$D$49</f>
        <v>269000000</v>
      </c>
      <c r="AI57" s="18">
        <f>Dimensions!$D$50*AJ57</f>
        <v>2349473684.2105265</v>
      </c>
      <c r="AJ57" s="17">
        <f t="shared" si="12"/>
        <v>6.526315789473684</v>
      </c>
      <c r="AK57" s="12">
        <f>IF(Dimensions!$D$63="y",Dimensions!$D$64,AH57+AI57)</f>
        <v>0</v>
      </c>
      <c r="AM57" s="105">
        <f>IF(Dimensions!$D$57="y",Dimensions!$D$58,Dimensions!$D$59-((Dimensions!$D$59-Dimensions!$D$60)/109)*(A57-1))</f>
        <v>151.98165137614677</v>
      </c>
      <c r="AN57" s="12">
        <f>LOOKUP(AM57,'Crush Energy'!$A$10:$A$509,'Crush Energy'!$G$10:$G$509)</f>
        <v>2480.5813243210573</v>
      </c>
      <c r="AO57" s="12">
        <f>IF(Dimensions!$D$57="y",Dimensions!$D$61,AN57*M57)</f>
        <v>1080165803.7743046</v>
      </c>
      <c r="AP57" s="12">
        <f t="shared" si="10"/>
        <v>47360508245.0042</v>
      </c>
    </row>
    <row r="58" spans="1:42" ht="10.5">
      <c r="A58" s="5">
        <f t="shared" si="6"/>
        <v>51</v>
      </c>
      <c r="B58" s="5">
        <f t="shared" si="7"/>
        <v>66</v>
      </c>
      <c r="C58" s="5">
        <f t="shared" si="1"/>
        <v>60</v>
      </c>
      <c r="E58" s="5">
        <v>1</v>
      </c>
      <c r="F58" s="5">
        <v>1</v>
      </c>
      <c r="H58" s="9">
        <f t="shared" si="17"/>
        <v>66.16666666666666</v>
      </c>
      <c r="I58" s="98">
        <f t="shared" si="2"/>
        <v>0.8849104859335039</v>
      </c>
      <c r="J58" s="12">
        <f>Dimensions!$D$40*I58</f>
        <v>688250.0056772246</v>
      </c>
      <c r="K58" s="12">
        <f t="shared" si="8"/>
        <v>19883662.01372698</v>
      </c>
      <c r="M58" s="12">
        <f>LOOKUP(C58,'Concrete Mass'!$B$8:$B$123,'Concrete Mass'!$H$8:$H$123)</f>
        <v>435448.656</v>
      </c>
      <c r="N58" s="12">
        <f>LOOKUP(C58,'Concrete Mass'!$B$8:$B$123,'Concrete Mass'!$O$8:$O$123)</f>
        <v>199779.08065312495</v>
      </c>
      <c r="O58" s="12"/>
      <c r="P58" s="116">
        <f>3.5*Dimensions!$C$105*Dimensions!$D$23</f>
        <v>49379.88344522785</v>
      </c>
      <c r="Q58" s="116">
        <f>15*Dimensions!$C$105*Dimensions!$D$23</f>
        <v>211628.07190811934</v>
      </c>
      <c r="R58" s="116">
        <f>50*Dimensions!$C$105*Dimensions!$D$23</f>
        <v>705426.9063603978</v>
      </c>
      <c r="S58" s="12"/>
      <c r="T58" s="12"/>
      <c r="U58" s="116">
        <f>161.1201*Dimensions!$D$22</f>
        <v>175805.5856319965</v>
      </c>
      <c r="V58" s="116">
        <f>366.1821*Dimensions!$D$22</f>
        <v>399558.2086806941</v>
      </c>
      <c r="X58" s="18">
        <f t="shared" si="3"/>
        <v>436813.5409853437</v>
      </c>
      <c r="Z58" s="12">
        <f t="shared" si="4"/>
        <v>705426.9063603978</v>
      </c>
      <c r="AA58" s="12">
        <f t="shared" si="5"/>
        <v>399558.2086806941</v>
      </c>
      <c r="AC58" s="12">
        <f>IF(Dimensions!$D$52="y",Dimensions!$D$53,J58+M58+N58+X58+Z58+AA58)</f>
        <v>2865276.398356785</v>
      </c>
      <c r="AD58" s="12">
        <f t="shared" si="9"/>
        <v>149288123.31817937</v>
      </c>
      <c r="AE58" s="12"/>
      <c r="AF58" s="9">
        <f t="shared" si="15"/>
        <v>0.24020370463105442</v>
      </c>
      <c r="AH58" s="18">
        <f>Dimensions!$D$49</f>
        <v>269000000</v>
      </c>
      <c r="AI58" s="18">
        <f>Dimensions!$D$50*AJ58</f>
        <v>2406315789.4736843</v>
      </c>
      <c r="AJ58" s="17">
        <f t="shared" si="12"/>
        <v>6.684210526315789</v>
      </c>
      <c r="AK58" s="12">
        <f>IF(Dimensions!$D$63="y",Dimensions!$D$64,AH58+AI58)</f>
        <v>0</v>
      </c>
      <c r="AM58" s="105">
        <f>IF(Dimensions!$D$57="y",Dimensions!$D$58,Dimensions!$D$59-((Dimensions!$D$59-Dimensions!$D$60)/109)*(A58-1))</f>
        <v>150.44862385321102</v>
      </c>
      <c r="AN58" s="12">
        <f>LOOKUP(AM58,'Crush Energy'!$A$10:$A$509,'Crush Energy'!$G$10:$G$509)</f>
        <v>2497.118533149865</v>
      </c>
      <c r="AO58" s="12">
        <f>IF(Dimensions!$D$57="y",Dimensions!$D$61,AN58*M58)</f>
        <v>1087366909.1328</v>
      </c>
      <c r="AP58" s="12">
        <f t="shared" si="10"/>
        <v>48447875154.137</v>
      </c>
    </row>
    <row r="59" spans="1:42" ht="10.5">
      <c r="A59" s="5">
        <f t="shared" si="6"/>
        <v>52</v>
      </c>
      <c r="B59" s="5">
        <f t="shared" si="7"/>
        <v>65</v>
      </c>
      <c r="C59" s="5">
        <f t="shared" si="1"/>
        <v>59</v>
      </c>
      <c r="E59" s="5">
        <v>2</v>
      </c>
      <c r="F59" s="5">
        <v>2</v>
      </c>
      <c r="H59" s="9">
        <f t="shared" si="17"/>
        <v>66.16666666666666</v>
      </c>
      <c r="I59" s="98">
        <f t="shared" si="2"/>
        <v>0.9002557544757033</v>
      </c>
      <c r="J59" s="12">
        <f>Dimensions!$D$40*I59</f>
        <v>700184.9768739395</v>
      </c>
      <c r="K59" s="12">
        <f t="shared" si="8"/>
        <v>20583846.990600917</v>
      </c>
      <c r="M59" s="12">
        <f>LOOKUP(C59,'Concrete Mass'!$B$8:$B$123,'Concrete Mass'!$H$8:$H$123)</f>
        <v>435448.656</v>
      </c>
      <c r="N59" s="12">
        <f>LOOKUP(C59,'Concrete Mass'!$B$8:$B$123,'Concrete Mass'!$O$8:$O$123)</f>
        <v>199779.08065312495</v>
      </c>
      <c r="O59" s="12"/>
      <c r="P59" s="118">
        <f>17.0885*Dimensions!$D$23</f>
        <v>49379.88922454016</v>
      </c>
      <c r="Q59" s="118">
        <f>73.2364*Dimensions!$D$23</f>
        <v>211628.01411499624</v>
      </c>
      <c r="R59" s="118">
        <f>244.1214*Dimensions!$D$23</f>
        <v>705426.9063603978</v>
      </c>
      <c r="S59" s="12"/>
      <c r="T59" s="12"/>
      <c r="U59" s="118">
        <f>161.1201*Dimensions!$D$22</f>
        <v>175805.5856319965</v>
      </c>
      <c r="V59" s="118">
        <f>366.1821*Dimensions!$D$22</f>
        <v>399558.2086806941</v>
      </c>
      <c r="X59" s="18">
        <f t="shared" si="3"/>
        <v>436813.4889715329</v>
      </c>
      <c r="Z59" s="12">
        <f t="shared" si="4"/>
        <v>705426.9063603978</v>
      </c>
      <c r="AA59" s="12">
        <f t="shared" si="5"/>
        <v>399558.2086806941</v>
      </c>
      <c r="AC59" s="12">
        <f>IF(Dimensions!$D$52="y",Dimensions!$D$53,J59+M59+N59+X59+Z59+AA59)</f>
        <v>2877211.317539689</v>
      </c>
      <c r="AD59" s="12">
        <f t="shared" si="9"/>
        <v>152165334.63571906</v>
      </c>
      <c r="AE59" s="12"/>
      <c r="AF59" s="9">
        <f t="shared" si="15"/>
        <v>0.24335542287268266</v>
      </c>
      <c r="AH59" s="18">
        <f>Dimensions!$D$49</f>
        <v>269000000</v>
      </c>
      <c r="AI59" s="18">
        <f>Dimensions!$D$50*AJ59</f>
        <v>2463157894.736842</v>
      </c>
      <c r="AJ59" s="17">
        <f t="shared" si="12"/>
        <v>6.842105263157895</v>
      </c>
      <c r="AK59" s="12">
        <f>IF(Dimensions!$D$63="y",Dimensions!$D$64,AH59+AI59)</f>
        <v>0</v>
      </c>
      <c r="AM59" s="105">
        <f>IF(Dimensions!$D$57="y",Dimensions!$D$58,Dimensions!$D$59-((Dimensions!$D$59-Dimensions!$D$60)/109)*(A59-1))</f>
        <v>148.91559633027524</v>
      </c>
      <c r="AN59" s="12">
        <f>LOOKUP(AM59,'Crush Energy'!$A$10:$A$509,'Crush Energy'!$G$10:$G$509)</f>
        <v>2530.863378192431</v>
      </c>
      <c r="AO59" s="12">
        <f>IF(Dimensions!$D$57="y",Dimensions!$D$61,AN59*M59)</f>
        <v>1102061056.5535138</v>
      </c>
      <c r="AP59" s="12">
        <f t="shared" si="10"/>
        <v>49549936210.69051</v>
      </c>
    </row>
    <row r="60" spans="1:42" ht="10.5">
      <c r="A60" s="5">
        <f t="shared" si="6"/>
        <v>53</v>
      </c>
      <c r="B60" s="5">
        <f t="shared" si="7"/>
        <v>64</v>
      </c>
      <c r="C60" s="5">
        <f t="shared" si="1"/>
        <v>58</v>
      </c>
      <c r="E60" s="5">
        <v>1</v>
      </c>
      <c r="F60" s="5">
        <v>1</v>
      </c>
      <c r="H60" s="9">
        <f t="shared" si="17"/>
        <v>66.16666666666666</v>
      </c>
      <c r="I60" s="98">
        <f t="shared" si="2"/>
        <v>0.9156010230179028</v>
      </c>
      <c r="J60" s="12">
        <f>Dimensions!$D$40*I60</f>
        <v>712119.9480706544</v>
      </c>
      <c r="K60" s="12">
        <f t="shared" si="8"/>
        <v>21295966.93867157</v>
      </c>
      <c r="M60" s="12">
        <f>LOOKUP(C60,'Concrete Mass'!$B$8:$B$123,'Concrete Mass'!$H$8:$H$123)</f>
        <v>435448.656</v>
      </c>
      <c r="N60" s="12">
        <f>LOOKUP(C60,'Concrete Mass'!$B$8:$B$123,'Concrete Mass'!$O$8:$O$123)</f>
        <v>199779.08065312495</v>
      </c>
      <c r="O60" s="12"/>
      <c r="P60" s="116">
        <f>3.5*Dimensions!$C$105*Dimensions!$D$23</f>
        <v>49379.88344522785</v>
      </c>
      <c r="Q60" s="116">
        <f>15*Dimensions!$C$105*Dimensions!$D$23</f>
        <v>211628.07190811934</v>
      </c>
      <c r="R60" s="116">
        <f>50*Dimensions!$C$105*Dimensions!$D$23</f>
        <v>705426.9063603978</v>
      </c>
      <c r="S60" s="12"/>
      <c r="T60" s="12"/>
      <c r="U60" s="116">
        <f>161.1201*Dimensions!$D$22</f>
        <v>175805.5856319965</v>
      </c>
      <c r="V60" s="116">
        <f>366.1821*Dimensions!$D$22</f>
        <v>399558.2086806941</v>
      </c>
      <c r="X60" s="18">
        <f t="shared" si="3"/>
        <v>436813.5409853437</v>
      </c>
      <c r="Z60" s="12">
        <f t="shared" si="4"/>
        <v>705426.9063603978</v>
      </c>
      <c r="AA60" s="12">
        <f t="shared" si="5"/>
        <v>399558.2086806941</v>
      </c>
      <c r="AC60" s="12">
        <f>IF(Dimensions!$D$52="y",Dimensions!$D$53,J60+M60+N60+X60+Z60+AA60)</f>
        <v>2889146.3407502146</v>
      </c>
      <c r="AD60" s="12">
        <f t="shared" si="9"/>
        <v>155054480.97646928</v>
      </c>
      <c r="AE60" s="12"/>
      <c r="AF60" s="9">
        <f t="shared" si="15"/>
        <v>0.2464810930573149</v>
      </c>
      <c r="AH60" s="18">
        <f>Dimensions!$D$49</f>
        <v>269000000</v>
      </c>
      <c r="AI60" s="18">
        <f>Dimensions!$D$50*AJ60</f>
        <v>2520000000</v>
      </c>
      <c r="AJ60" s="17">
        <f t="shared" si="12"/>
        <v>7</v>
      </c>
      <c r="AK60" s="12">
        <f>IF(Dimensions!$D$63="y",Dimensions!$D$64,AH60+AI60)</f>
        <v>0</v>
      </c>
      <c r="AM60" s="105">
        <f>IF(Dimensions!$D$57="y",Dimensions!$D$58,Dimensions!$D$59-((Dimensions!$D$59-Dimensions!$D$60)/109)*(A60-1))</f>
        <v>147.38256880733945</v>
      </c>
      <c r="AN60" s="12">
        <f>LOOKUP(AM60,'Crush Energy'!$A$10:$A$509,'Crush Energy'!$G$10:$G$509)</f>
        <v>2548.080135867209</v>
      </c>
      <c r="AO60" s="12">
        <f>IF(Dimensions!$D$57="y",Dimensions!$D$61,AN60*M60)</f>
        <v>1109558070.5436735</v>
      </c>
      <c r="AP60" s="12">
        <f t="shared" si="10"/>
        <v>50659494281.234184</v>
      </c>
    </row>
    <row r="61" spans="1:42" ht="10.5">
      <c r="A61" s="5">
        <f t="shared" si="6"/>
        <v>54</v>
      </c>
      <c r="B61" s="5">
        <f t="shared" si="7"/>
        <v>63</v>
      </c>
      <c r="C61" s="5">
        <f t="shared" si="1"/>
        <v>57</v>
      </c>
      <c r="E61" s="5">
        <v>1</v>
      </c>
      <c r="F61" s="5">
        <v>1</v>
      </c>
      <c r="H61" s="9">
        <f t="shared" si="17"/>
        <v>66.16666666666666</v>
      </c>
      <c r="I61" s="98">
        <f t="shared" si="2"/>
        <v>0.9309462915601023</v>
      </c>
      <c r="J61" s="12">
        <f>Dimensions!$D$40*I61</f>
        <v>724054.9192673693</v>
      </c>
      <c r="K61" s="12">
        <f t="shared" si="8"/>
        <v>22020021.857938938</v>
      </c>
      <c r="M61" s="12">
        <f>LOOKUP(C61,'Concrete Mass'!$B$8:$B$123,'Concrete Mass'!$H$8:$H$123)</f>
        <v>435448.656</v>
      </c>
      <c r="N61" s="12">
        <f>LOOKUP(C61,'Concrete Mass'!$B$8:$B$123,'Concrete Mass'!$O$8:$O$123)</f>
        <v>199779.08065312495</v>
      </c>
      <c r="O61" s="12"/>
      <c r="P61" s="116">
        <f>3.5*Dimensions!$C$105*Dimensions!$D$23</f>
        <v>49379.88344522785</v>
      </c>
      <c r="Q61" s="116">
        <f>15*Dimensions!$C$105*Dimensions!$D$23</f>
        <v>211628.07190811934</v>
      </c>
      <c r="R61" s="116">
        <f>50*Dimensions!$C$105*Dimensions!$D$23</f>
        <v>705426.9063603978</v>
      </c>
      <c r="S61" s="12"/>
      <c r="T61" s="12"/>
      <c r="U61" s="116">
        <f>161.1201*Dimensions!$D$22</f>
        <v>175805.5856319965</v>
      </c>
      <c r="V61" s="116">
        <f>366.1821*Dimensions!$D$22</f>
        <v>399558.2086806941</v>
      </c>
      <c r="X61" s="18">
        <f t="shared" si="3"/>
        <v>436813.5409853437</v>
      </c>
      <c r="Z61" s="12">
        <f t="shared" si="4"/>
        <v>705426.9063603978</v>
      </c>
      <c r="AA61" s="12">
        <f t="shared" si="5"/>
        <v>399558.2086806941</v>
      </c>
      <c r="AC61" s="12">
        <f>IF(Dimensions!$D$52="y",Dimensions!$D$53,J61+M61+N61+X61+Z61+AA61)</f>
        <v>2901081.31194693</v>
      </c>
      <c r="AD61" s="12">
        <f t="shared" si="9"/>
        <v>157955562.2884162</v>
      </c>
      <c r="AE61" s="12"/>
      <c r="AF61" s="9">
        <f t="shared" si="15"/>
        <v>0.24958104975742734</v>
      </c>
      <c r="AH61" s="18">
        <f>Dimensions!$D$49</f>
        <v>269000000</v>
      </c>
      <c r="AI61" s="18">
        <f>Dimensions!$D$50*AJ61</f>
        <v>2576842105.263158</v>
      </c>
      <c r="AJ61" s="17">
        <f t="shared" si="12"/>
        <v>7.157894736842105</v>
      </c>
      <c r="AK61" s="12">
        <f>IF(Dimensions!$D$63="y",Dimensions!$D$64,AH61+AI61)</f>
        <v>0</v>
      </c>
      <c r="AM61" s="105">
        <f>IF(Dimensions!$D$57="y",Dimensions!$D$58,Dimensions!$D$59-((Dimensions!$D$59-Dimensions!$D$60)/109)*(A61-1))</f>
        <v>145.84954128440367</v>
      </c>
      <c r="AN61" s="12">
        <f>LOOKUP(AM61,'Crush Energy'!$A$10:$A$509,'Crush Energy'!$G$10:$G$509)</f>
        <v>2583.2260687757225</v>
      </c>
      <c r="AO61" s="12">
        <f>IF(Dimensions!$D$57="y",Dimensions!$D$61,AN61*M61)</f>
        <v>1124862319.792552</v>
      </c>
      <c r="AP61" s="12">
        <f t="shared" si="10"/>
        <v>51784356601.02673</v>
      </c>
    </row>
    <row r="62" spans="1:42" ht="10.5">
      <c r="A62" s="5">
        <f t="shared" si="6"/>
        <v>55</v>
      </c>
      <c r="B62" s="5">
        <f t="shared" si="7"/>
        <v>62</v>
      </c>
      <c r="C62" s="5">
        <f t="shared" si="1"/>
        <v>56</v>
      </c>
      <c r="E62" s="5">
        <v>1</v>
      </c>
      <c r="F62" s="5">
        <v>1</v>
      </c>
      <c r="H62" s="9">
        <f>$H$8+(($H$117-$H$8)/12)*6</f>
        <v>71</v>
      </c>
      <c r="I62" s="98">
        <f t="shared" si="2"/>
        <v>0.9462915601023018</v>
      </c>
      <c r="J62" s="12">
        <f>Dimensions!$D$40*I62</f>
        <v>735989.8904640841</v>
      </c>
      <c r="K62" s="12">
        <f t="shared" si="8"/>
        <v>22756011.74840302</v>
      </c>
      <c r="M62" s="12">
        <f>LOOKUP(C62,'Concrete Mass'!$B$8:$B$123,'Concrete Mass'!$H$8:$H$123)</f>
        <v>435448.656</v>
      </c>
      <c r="N62" s="12">
        <f>LOOKUP(C62,'Concrete Mass'!$B$8:$B$123,'Concrete Mass'!$O$8:$O$123)</f>
        <v>199779.08065312495</v>
      </c>
      <c r="O62" s="12"/>
      <c r="P62" s="116">
        <f>3.5*Dimensions!$C$105*Dimensions!$D$23</f>
        <v>49379.88344522785</v>
      </c>
      <c r="Q62" s="116">
        <f>15*Dimensions!$C$105*Dimensions!$D$23</f>
        <v>211628.07190811934</v>
      </c>
      <c r="R62" s="116">
        <f>50*Dimensions!$C$105*Dimensions!$D$23</f>
        <v>705426.9063603978</v>
      </c>
      <c r="S62" s="12"/>
      <c r="T62" s="12"/>
      <c r="U62" s="116">
        <f>161.1201*Dimensions!$D$22</f>
        <v>175805.5856319965</v>
      </c>
      <c r="V62" s="116">
        <f>366.1821*Dimensions!$D$22</f>
        <v>399558.2086806941</v>
      </c>
      <c r="X62" s="18">
        <f t="shared" si="3"/>
        <v>436813.5409853437</v>
      </c>
      <c r="Z62" s="12">
        <f t="shared" si="4"/>
        <v>705426.9063603978</v>
      </c>
      <c r="AA62" s="12">
        <f t="shared" si="5"/>
        <v>399558.2086806941</v>
      </c>
      <c r="AC62" s="12">
        <f>IF(Dimensions!$D$52="y",Dimensions!$D$53,J62+M62+N62+X62+Z62+AA62)</f>
        <v>2913016.2831436447</v>
      </c>
      <c r="AD62" s="12">
        <f t="shared" si="9"/>
        <v>160868578.57155985</v>
      </c>
      <c r="AE62" s="12"/>
      <c r="AF62" s="9">
        <f t="shared" si="15"/>
        <v>0.25265560468128406</v>
      </c>
      <c r="AH62" s="18">
        <f>Dimensions!$D$49</f>
        <v>269000000</v>
      </c>
      <c r="AI62" s="18">
        <f>Dimensions!$D$50*AJ62</f>
        <v>2633684210.5263157</v>
      </c>
      <c r="AJ62" s="17">
        <f t="shared" si="12"/>
        <v>7.315789473684211</v>
      </c>
      <c r="AK62" s="12">
        <f>IF(Dimensions!$D$63="y",Dimensions!$D$64,AH62+AI62)</f>
        <v>0</v>
      </c>
      <c r="AM62" s="105">
        <f>IF(Dimensions!$D$57="y",Dimensions!$D$58,Dimensions!$D$59-((Dimensions!$D$59-Dimensions!$D$60)/109)*(A62-1))</f>
        <v>144.3165137614679</v>
      </c>
      <c r="AN62" s="12">
        <f>LOOKUP(AM62,'Crush Energy'!$A$10:$A$509,'Crush Energy'!$G$10:$G$509)</f>
        <v>2601.1651386977755</v>
      </c>
      <c r="AO62" s="12">
        <f>IF(Dimensions!$D$57="y",Dimensions!$D$61,AN62*M62)</f>
        <v>1132673863.68</v>
      </c>
      <c r="AP62" s="12">
        <f t="shared" si="10"/>
        <v>52917030464.70673</v>
      </c>
    </row>
    <row r="63" spans="1:42" ht="10.5">
      <c r="A63" s="5">
        <f t="shared" si="6"/>
        <v>56</v>
      </c>
      <c r="B63" s="5">
        <f t="shared" si="7"/>
        <v>61</v>
      </c>
      <c r="C63" s="5">
        <f t="shared" si="1"/>
        <v>55</v>
      </c>
      <c r="E63" s="5">
        <v>1</v>
      </c>
      <c r="F63" s="5">
        <v>1</v>
      </c>
      <c r="H63" s="9">
        <f aca="true" t="shared" si="18" ref="H63:H70">$H$8+(($H$117-$H$8)/12)*6</f>
        <v>71</v>
      </c>
      <c r="I63" s="98">
        <f t="shared" si="2"/>
        <v>0.9616368286445013</v>
      </c>
      <c r="J63" s="12">
        <f>Dimensions!$D$40*I63</f>
        <v>747924.861660799</v>
      </c>
      <c r="K63" s="12">
        <f t="shared" si="8"/>
        <v>23503936.61006382</v>
      </c>
      <c r="M63" s="12">
        <f>LOOKUP(C63,'Concrete Mass'!$B$8:$B$123,'Concrete Mass'!$H$8:$H$123)</f>
        <v>435448.656</v>
      </c>
      <c r="N63" s="12">
        <f>LOOKUP(C63,'Concrete Mass'!$B$8:$B$123,'Concrete Mass'!$O$8:$O$123)</f>
        <v>199779.08065312495</v>
      </c>
      <c r="O63" s="12"/>
      <c r="P63" s="116">
        <f>3.5*Dimensions!$C$105*Dimensions!$D$23</f>
        <v>49379.88344522785</v>
      </c>
      <c r="Q63" s="116">
        <f>15*Dimensions!$C$105*Dimensions!$D$23</f>
        <v>211628.07190811934</v>
      </c>
      <c r="R63" s="116">
        <f>50*Dimensions!$C$105*Dimensions!$D$23</f>
        <v>705426.9063603978</v>
      </c>
      <c r="S63" s="12"/>
      <c r="T63" s="12"/>
      <c r="U63" s="116">
        <f>161.1201*Dimensions!$D$22</f>
        <v>175805.5856319965</v>
      </c>
      <c r="V63" s="116">
        <f>366.1821*Dimensions!$D$22</f>
        <v>399558.2086806941</v>
      </c>
      <c r="X63" s="18">
        <f t="shared" si="3"/>
        <v>436813.5409853437</v>
      </c>
      <c r="Z63" s="12">
        <f t="shared" si="4"/>
        <v>705426.9063603978</v>
      </c>
      <c r="AA63" s="12">
        <f t="shared" si="5"/>
        <v>399558.2086806941</v>
      </c>
      <c r="AC63" s="12">
        <f>IF(Dimensions!$D$52="y",Dimensions!$D$53,J63+M63+N63+X63+Z63+AA63)</f>
        <v>2924951.2543403595</v>
      </c>
      <c r="AD63" s="12">
        <f t="shared" si="9"/>
        <v>163793529.8259002</v>
      </c>
      <c r="AE63" s="12"/>
      <c r="AF63" s="9">
        <f t="shared" si="15"/>
        <v>0.2557050687771111</v>
      </c>
      <c r="AH63" s="18">
        <f>Dimensions!$D$49</f>
        <v>269000000</v>
      </c>
      <c r="AI63" s="18">
        <f>Dimensions!$D$50*AJ63</f>
        <v>2690526315.7894735</v>
      </c>
      <c r="AJ63" s="17">
        <f t="shared" si="12"/>
        <v>7.473684210526315</v>
      </c>
      <c r="AK63" s="12">
        <f>IF(Dimensions!$D$63="y",Dimensions!$D$64,AH63+AI63)</f>
        <v>0</v>
      </c>
      <c r="AM63" s="105">
        <f>IF(Dimensions!$D$57="y",Dimensions!$D$58,Dimensions!$D$59-((Dimensions!$D$59-Dimensions!$D$60)/109)*(A63-1))</f>
        <v>142.7834862385321</v>
      </c>
      <c r="AN63" s="12">
        <f>LOOKUP(AM63,'Crush Energy'!$A$10:$A$509,'Crush Energy'!$G$10:$G$509)</f>
        <v>2637.801267411829</v>
      </c>
      <c r="AO63" s="12">
        <f>IF(Dimensions!$D$57="y",Dimensions!$D$61,AN63*M63)</f>
        <v>1148627016.6895776</v>
      </c>
      <c r="AP63" s="12">
        <f t="shared" si="10"/>
        <v>54065657481.39631</v>
      </c>
    </row>
    <row r="64" spans="1:42" ht="10.5">
      <c r="A64" s="5">
        <f t="shared" si="6"/>
        <v>57</v>
      </c>
      <c r="B64" s="5">
        <f t="shared" si="7"/>
        <v>60</v>
      </c>
      <c r="C64" s="5">
        <f t="shared" si="1"/>
        <v>54</v>
      </c>
      <c r="E64" s="5">
        <v>1</v>
      </c>
      <c r="F64" s="5">
        <v>1</v>
      </c>
      <c r="H64" s="9">
        <f t="shared" si="18"/>
        <v>71</v>
      </c>
      <c r="I64" s="98">
        <f t="shared" si="2"/>
        <v>0.9769820971867008</v>
      </c>
      <c r="J64" s="12">
        <f>Dimensions!$D$40*I64</f>
        <v>759859.8328575139</v>
      </c>
      <c r="K64" s="12">
        <f t="shared" si="8"/>
        <v>24263796.442921337</v>
      </c>
      <c r="M64" s="12">
        <f>LOOKUP(C64,'Concrete Mass'!$B$8:$B$123,'Concrete Mass'!$H$8:$H$123)</f>
        <v>435448.656</v>
      </c>
      <c r="N64" s="12">
        <f>LOOKUP(C64,'Concrete Mass'!$B$8:$B$123,'Concrete Mass'!$O$8:$O$123)</f>
        <v>199779.08065312495</v>
      </c>
      <c r="O64" s="12"/>
      <c r="P64" s="116">
        <f>3.5*Dimensions!$C$105*Dimensions!$D$23</f>
        <v>49379.88344522785</v>
      </c>
      <c r="Q64" s="116">
        <f>15*Dimensions!$C$105*Dimensions!$D$23</f>
        <v>211628.07190811934</v>
      </c>
      <c r="R64" s="116">
        <f>50*Dimensions!$C$105*Dimensions!$D$23</f>
        <v>705426.9063603978</v>
      </c>
      <c r="S64" s="12"/>
      <c r="T64" s="12"/>
      <c r="U64" s="116">
        <f>161.1201*Dimensions!$D$22</f>
        <v>175805.5856319965</v>
      </c>
      <c r="V64" s="116">
        <f>366.1821*Dimensions!$D$22</f>
        <v>399558.2086806941</v>
      </c>
      <c r="X64" s="18">
        <f t="shared" si="3"/>
        <v>436813.5409853437</v>
      </c>
      <c r="Z64" s="12">
        <f t="shared" si="4"/>
        <v>705426.9063603978</v>
      </c>
      <c r="AA64" s="12">
        <f t="shared" si="5"/>
        <v>399558.2086806941</v>
      </c>
      <c r="AC64" s="12">
        <f>IF(Dimensions!$D$52="y",Dimensions!$D$53,J64+M64+N64+X64+Z64+AA64)</f>
        <v>2936886.2255370747</v>
      </c>
      <c r="AD64" s="12">
        <f t="shared" si="9"/>
        <v>166730416.05143726</v>
      </c>
      <c r="AE64" s="12"/>
      <c r="AF64" s="9">
        <f t="shared" si="15"/>
        <v>0.25872974793858644</v>
      </c>
      <c r="AH64" s="18">
        <f>Dimensions!$D$49</f>
        <v>269000000</v>
      </c>
      <c r="AI64" s="18">
        <f>Dimensions!$D$50*AJ64</f>
        <v>2747368421.0526314</v>
      </c>
      <c r="AJ64" s="17">
        <f t="shared" si="12"/>
        <v>7.63157894736842</v>
      </c>
      <c r="AK64" s="12">
        <f>IF(Dimensions!$D$63="y",Dimensions!$D$64,AH64+AI64)</f>
        <v>0</v>
      </c>
      <c r="AM64" s="105">
        <f>IF(Dimensions!$D$57="y",Dimensions!$D$58,Dimensions!$D$59-((Dimensions!$D$59-Dimensions!$D$60)/109)*(A64-1))</f>
        <v>141.25045871559632</v>
      </c>
      <c r="AN64" s="12">
        <f>LOOKUP(AM64,'Crush Energy'!$A$10:$A$509,'Crush Energy'!$G$10:$G$509)</f>
        <v>2656.5090778190047</v>
      </c>
      <c r="AO64" s="12">
        <f>IF(Dimensions!$D$57="y",Dimensions!$D$61,AN64*M64)</f>
        <v>1156773307.588085</v>
      </c>
      <c r="AP64" s="12">
        <f t="shared" si="10"/>
        <v>55222430788.98439</v>
      </c>
    </row>
    <row r="65" spans="1:42" ht="10.5">
      <c r="A65" s="5">
        <f t="shared" si="6"/>
        <v>58</v>
      </c>
      <c r="B65" s="5">
        <f t="shared" si="7"/>
        <v>59</v>
      </c>
      <c r="C65" s="5">
        <f t="shared" si="1"/>
        <v>53</v>
      </c>
      <c r="E65" s="5">
        <v>1</v>
      </c>
      <c r="F65" s="5">
        <v>1</v>
      </c>
      <c r="H65" s="9">
        <f t="shared" si="18"/>
        <v>71</v>
      </c>
      <c r="I65" s="98">
        <f t="shared" si="2"/>
        <v>0.9923273657289002</v>
      </c>
      <c r="J65" s="12">
        <f>Dimensions!$D$40*I65</f>
        <v>771794.8040542287</v>
      </c>
      <c r="K65" s="12">
        <f t="shared" si="8"/>
        <v>25035591.246975567</v>
      </c>
      <c r="M65" s="12">
        <f>LOOKUP(C65,'Concrete Mass'!$B$8:$B$123,'Concrete Mass'!$H$8:$H$123)</f>
        <v>435448.656</v>
      </c>
      <c r="N65" s="12">
        <f>LOOKUP(C65,'Concrete Mass'!$B$8:$B$123,'Concrete Mass'!$O$8:$O$123)</f>
        <v>199779.08065312495</v>
      </c>
      <c r="O65" s="12"/>
      <c r="P65" s="116">
        <f>3.5*Dimensions!$C$105*Dimensions!$D$23</f>
        <v>49379.88344522785</v>
      </c>
      <c r="Q65" s="116">
        <f>15*Dimensions!$C$105*Dimensions!$D$23</f>
        <v>211628.07190811934</v>
      </c>
      <c r="R65" s="116">
        <f>50*Dimensions!$C$105*Dimensions!$D$23</f>
        <v>705426.9063603978</v>
      </c>
      <c r="S65" s="12"/>
      <c r="T65" s="12"/>
      <c r="U65" s="116">
        <f>161.1201*Dimensions!$D$22</f>
        <v>175805.5856319965</v>
      </c>
      <c r="V65" s="116">
        <f>366.1821*Dimensions!$D$22</f>
        <v>399558.2086806941</v>
      </c>
      <c r="X65" s="18">
        <f t="shared" si="3"/>
        <v>436813.5409853437</v>
      </c>
      <c r="Z65" s="12">
        <f t="shared" si="4"/>
        <v>705426.9063603978</v>
      </c>
      <c r="AA65" s="12">
        <f t="shared" si="5"/>
        <v>399558.2086806941</v>
      </c>
      <c r="AC65" s="12">
        <f>IF(Dimensions!$D$52="y",Dimensions!$D$53,J65+M65+N65+X65+Z65+AA65)</f>
        <v>2948821.1967337895</v>
      </c>
      <c r="AD65" s="12">
        <f t="shared" si="9"/>
        <v>169679237.24817106</v>
      </c>
      <c r="AE65" s="12"/>
      <c r="AF65" s="9">
        <f t="shared" si="15"/>
        <v>0.26172994310712827</v>
      </c>
      <c r="AH65" s="18">
        <f>Dimensions!$D$49</f>
        <v>269000000</v>
      </c>
      <c r="AI65" s="18">
        <f>Dimensions!$D$50*AJ65</f>
        <v>2804210526.315789</v>
      </c>
      <c r="AJ65" s="17">
        <f t="shared" si="12"/>
        <v>7.789473684210526</v>
      </c>
      <c r="AK65" s="12">
        <f>IF(Dimensions!$D$63="y",Dimensions!$D$64,AH65+AI65)</f>
        <v>0</v>
      </c>
      <c r="AM65" s="105">
        <f>IF(Dimensions!$D$57="y",Dimensions!$D$58,Dimensions!$D$59-((Dimensions!$D$59-Dimensions!$D$60)/109)*(A65-1))</f>
        <v>139.71743119266057</v>
      </c>
      <c r="AN65" s="12">
        <f>LOOKUP(AM65,'Crush Energy'!$A$10:$A$509,'Crush Energy'!$G$10:$G$509)</f>
        <v>2694.73223001784</v>
      </c>
      <c r="AO65" s="12">
        <f>IF(Dimensions!$D$57="y",Dimensions!$D$61,AN65*M65)</f>
        <v>1173417527.8411512</v>
      </c>
      <c r="AP65" s="12">
        <f t="shared" si="10"/>
        <v>56395848316.82554</v>
      </c>
    </row>
    <row r="66" spans="1:42" ht="10.5">
      <c r="A66" s="5">
        <f t="shared" si="6"/>
        <v>59</v>
      </c>
      <c r="B66" s="5">
        <f t="shared" si="7"/>
        <v>58</v>
      </c>
      <c r="C66" s="5">
        <f t="shared" si="1"/>
        <v>52</v>
      </c>
      <c r="E66" s="5">
        <v>1</v>
      </c>
      <c r="F66" s="5">
        <v>1</v>
      </c>
      <c r="H66" s="9">
        <f t="shared" si="18"/>
        <v>71</v>
      </c>
      <c r="I66" s="98">
        <f t="shared" si="2"/>
        <v>1.0076726342710998</v>
      </c>
      <c r="J66" s="12">
        <f>Dimensions!$D$40*I66</f>
        <v>783729.7752509437</v>
      </c>
      <c r="K66" s="12">
        <f t="shared" si="8"/>
        <v>25819321.022226512</v>
      </c>
      <c r="M66" s="12">
        <f>LOOKUP(C66,'Concrete Mass'!$B$8:$B$123,'Concrete Mass'!$H$8:$H$123)</f>
        <v>435448.656</v>
      </c>
      <c r="N66" s="12">
        <f>LOOKUP(C66,'Concrete Mass'!$B$8:$B$123,'Concrete Mass'!$O$8:$O$123)</f>
        <v>199779.08065312495</v>
      </c>
      <c r="O66" s="12"/>
      <c r="P66" s="116">
        <f>3.5*Dimensions!$C$105*Dimensions!$D$23</f>
        <v>49379.88344522785</v>
      </c>
      <c r="Q66" s="116">
        <f>15*Dimensions!$C$105*Dimensions!$D$23</f>
        <v>211628.07190811934</v>
      </c>
      <c r="R66" s="116">
        <f>50*Dimensions!$C$105*Dimensions!$D$23</f>
        <v>705426.9063603978</v>
      </c>
      <c r="S66" s="12"/>
      <c r="T66" s="12"/>
      <c r="U66" s="116">
        <f>161.1201*Dimensions!$D$22</f>
        <v>175805.5856319965</v>
      </c>
      <c r="V66" s="116">
        <f>366.1821*Dimensions!$D$22</f>
        <v>399558.2086806941</v>
      </c>
      <c r="X66" s="18">
        <f t="shared" si="3"/>
        <v>436813.5409853437</v>
      </c>
      <c r="Z66" s="12">
        <f t="shared" si="4"/>
        <v>705426.9063603978</v>
      </c>
      <c r="AA66" s="12">
        <f t="shared" si="5"/>
        <v>399558.2086806941</v>
      </c>
      <c r="AC66" s="12">
        <f>IF(Dimensions!$D$52="y",Dimensions!$D$53,J66+M66+N66+X66+Z66+AA66)</f>
        <v>2960756.1679305043</v>
      </c>
      <c r="AD66" s="12">
        <f t="shared" si="9"/>
        <v>172639993.41610157</v>
      </c>
      <c r="AE66" s="12"/>
      <c r="AF66" s="9">
        <f t="shared" si="15"/>
        <v>0.26470595037170913</v>
      </c>
      <c r="AH66" s="18">
        <f>Dimensions!$D$49</f>
        <v>269000000</v>
      </c>
      <c r="AI66" s="18">
        <f>Dimensions!$D$50*AJ66</f>
        <v>2861052631.578947</v>
      </c>
      <c r="AJ66" s="17">
        <f t="shared" si="12"/>
        <v>7.947368421052631</v>
      </c>
      <c r="AK66" s="12">
        <f>IF(Dimensions!$D$63="y",Dimensions!$D$64,AH66+AI66)</f>
        <v>0</v>
      </c>
      <c r="AM66" s="105">
        <f>IF(Dimensions!$D$57="y",Dimensions!$D$58,Dimensions!$D$59-((Dimensions!$D$59-Dimensions!$D$60)/109)*(A66-1))</f>
        <v>138.18440366972476</v>
      </c>
      <c r="AN66" s="12">
        <f>LOOKUP(AM66,'Crush Energy'!$A$10:$A$509,'Crush Energy'!$G$10:$G$509)</f>
        <v>2714.259275162896</v>
      </c>
      <c r="AO66" s="12">
        <f>IF(Dimensions!$D$57="y",Dimensions!$D$61,AN66*M66)</f>
        <v>1181920553.4052172</v>
      </c>
      <c r="AP66" s="12">
        <f t="shared" si="10"/>
        <v>57577768870.23076</v>
      </c>
    </row>
    <row r="67" spans="1:42" ht="10.5">
      <c r="A67" s="5">
        <f t="shared" si="6"/>
        <v>60</v>
      </c>
      <c r="B67" s="5">
        <f t="shared" si="7"/>
        <v>57</v>
      </c>
      <c r="C67" s="5">
        <f t="shared" si="1"/>
        <v>51</v>
      </c>
      <c r="E67" s="5">
        <v>1</v>
      </c>
      <c r="F67" s="5">
        <v>1</v>
      </c>
      <c r="H67" s="9">
        <f t="shared" si="18"/>
        <v>71</v>
      </c>
      <c r="I67" s="98">
        <f t="shared" si="2"/>
        <v>1.0230179028132993</v>
      </c>
      <c r="J67" s="12">
        <f>Dimensions!$D$40*I67</f>
        <v>795664.7464476586</v>
      </c>
      <c r="K67" s="12">
        <f t="shared" si="8"/>
        <v>26614985.768674172</v>
      </c>
      <c r="M67" s="12">
        <f>LOOKUP(C67,'Concrete Mass'!$B$8:$B$123,'Concrete Mass'!$H$8:$H$123)</f>
        <v>435448.656</v>
      </c>
      <c r="N67" s="12">
        <f>LOOKUP(C67,'Concrete Mass'!$B$8:$B$123,'Concrete Mass'!$O$8:$O$123)</f>
        <v>199779.08065312495</v>
      </c>
      <c r="O67" s="12"/>
      <c r="P67" s="116">
        <f>3.5*Dimensions!$C$105*Dimensions!$D$23</f>
        <v>49379.88344522785</v>
      </c>
      <c r="Q67" s="116">
        <f>15*Dimensions!$C$105*Dimensions!$D$23</f>
        <v>211628.07190811934</v>
      </c>
      <c r="R67" s="116">
        <f>50*Dimensions!$C$105*Dimensions!$D$23</f>
        <v>705426.9063603978</v>
      </c>
      <c r="S67" s="12"/>
      <c r="T67" s="12"/>
      <c r="U67" s="116">
        <f>161.1201*Dimensions!$D$22</f>
        <v>175805.5856319965</v>
      </c>
      <c r="V67" s="116">
        <f>366.1821*Dimensions!$D$22</f>
        <v>399558.2086806941</v>
      </c>
      <c r="X67" s="18">
        <f t="shared" si="3"/>
        <v>436813.5409853437</v>
      </c>
      <c r="Z67" s="12">
        <f t="shared" si="4"/>
        <v>705426.9063603978</v>
      </c>
      <c r="AA67" s="12">
        <f t="shared" si="5"/>
        <v>399558.2086806941</v>
      </c>
      <c r="AC67" s="12">
        <f>IF(Dimensions!$D$52="y",Dimensions!$D$53,J67+M67+N67+X67+Z67+AA67)</f>
        <v>2972691.139127219</v>
      </c>
      <c r="AD67" s="12">
        <f t="shared" si="9"/>
        <v>175612684.5552288</v>
      </c>
      <c r="AE67" s="12"/>
      <c r="AF67" s="9">
        <f t="shared" si="15"/>
        <v>0.26765806106626516</v>
      </c>
      <c r="AH67" s="18">
        <f>Dimensions!$D$49</f>
        <v>269000000</v>
      </c>
      <c r="AI67" s="18">
        <f>Dimensions!$D$50*AJ67</f>
        <v>2917894736.842105</v>
      </c>
      <c r="AJ67" s="17">
        <f t="shared" si="12"/>
        <v>8.105263157894736</v>
      </c>
      <c r="AK67" s="12">
        <f>IF(Dimensions!$D$63="y",Dimensions!$D$64,AH67+AI67)</f>
        <v>0</v>
      </c>
      <c r="AM67" s="105">
        <f>IF(Dimensions!$D$57="y",Dimensions!$D$58,Dimensions!$D$59-((Dimensions!$D$59-Dimensions!$D$60)/109)*(A67-1))</f>
        <v>136.651376146789</v>
      </c>
      <c r="AN67" s="12">
        <f>LOOKUP(AM67,'Crush Energy'!$A$10:$A$509,'Crush Energy'!$G$10:$G$509)</f>
        <v>2754.1748527388213</v>
      </c>
      <c r="AO67" s="12">
        <f>IF(Dimensions!$D$57="y",Dimensions!$D$61,AN67*M67)</f>
        <v>1199301738.0141177</v>
      </c>
      <c r="AP67" s="12">
        <f t="shared" si="10"/>
        <v>58777070608.24487</v>
      </c>
    </row>
    <row r="68" spans="1:42" ht="10.5">
      <c r="A68" s="5">
        <f t="shared" si="6"/>
        <v>61</v>
      </c>
      <c r="B68" s="5">
        <f t="shared" si="7"/>
        <v>56</v>
      </c>
      <c r="C68" s="5">
        <f t="shared" si="1"/>
        <v>50</v>
      </c>
      <c r="E68" s="5">
        <v>1</v>
      </c>
      <c r="F68" s="5">
        <v>1</v>
      </c>
      <c r="H68" s="9">
        <f t="shared" si="18"/>
        <v>71</v>
      </c>
      <c r="I68" s="98">
        <f t="shared" si="2"/>
        <v>1.0383631713554988</v>
      </c>
      <c r="J68" s="12">
        <f>Dimensions!$D$40*I68</f>
        <v>807599.7176443735</v>
      </c>
      <c r="K68" s="12">
        <f t="shared" si="8"/>
        <v>27422585.486318547</v>
      </c>
      <c r="M68" s="12">
        <f>LOOKUP(C68,'Concrete Mass'!$B$8:$B$123,'Concrete Mass'!$H$8:$H$123)</f>
        <v>435448.656</v>
      </c>
      <c r="N68" s="12">
        <f>LOOKUP(C68,'Concrete Mass'!$B$8:$B$123,'Concrete Mass'!$O$8:$O$123)</f>
        <v>199779.08065312495</v>
      </c>
      <c r="O68" s="12"/>
      <c r="P68" s="116">
        <f>3.5*Dimensions!$C$105*Dimensions!$D$23</f>
        <v>49379.88344522785</v>
      </c>
      <c r="Q68" s="116">
        <f>15*Dimensions!$C$105*Dimensions!$D$23</f>
        <v>211628.07190811934</v>
      </c>
      <c r="R68" s="116">
        <f>50*Dimensions!$C$105*Dimensions!$D$23</f>
        <v>705426.9063603978</v>
      </c>
      <c r="S68" s="12"/>
      <c r="T68" s="12"/>
      <c r="U68" s="116">
        <f>161.1201*Dimensions!$D$22</f>
        <v>175805.5856319965</v>
      </c>
      <c r="V68" s="116">
        <f>366.1821*Dimensions!$D$22</f>
        <v>399558.2086806941</v>
      </c>
      <c r="X68" s="18">
        <f t="shared" si="3"/>
        <v>436813.5409853437</v>
      </c>
      <c r="Z68" s="12">
        <f t="shared" si="4"/>
        <v>705426.9063603978</v>
      </c>
      <c r="AA68" s="12">
        <f t="shared" si="5"/>
        <v>399558.2086806941</v>
      </c>
      <c r="AC68" s="12">
        <f>IF(Dimensions!$D$52="y",Dimensions!$D$53,J68+M68+N68+X68+Z68+AA68)</f>
        <v>2984626.110323934</v>
      </c>
      <c r="AD68" s="12">
        <f t="shared" si="9"/>
        <v>178597310.66555274</v>
      </c>
      <c r="AE68" s="12"/>
      <c r="AF68" s="9">
        <f t="shared" si="15"/>
        <v>0.27058656186476954</v>
      </c>
      <c r="AH68" s="18">
        <f>Dimensions!$D$49</f>
        <v>269000000</v>
      </c>
      <c r="AI68" s="18">
        <f>Dimensions!$D$50*AJ68</f>
        <v>2974736842.105263</v>
      </c>
      <c r="AJ68" s="17">
        <f t="shared" si="12"/>
        <v>8.263157894736842</v>
      </c>
      <c r="AK68" s="12">
        <f>IF(Dimensions!$D$63="y",Dimensions!$D$64,AH68+AI68)</f>
        <v>0</v>
      </c>
      <c r="AM68" s="105">
        <f>IF(Dimensions!$D$57="y",Dimensions!$D$58,Dimensions!$D$59-((Dimensions!$D$59-Dimensions!$D$60)/109)*(A68-1))</f>
        <v>135.1183486238532</v>
      </c>
      <c r="AN68" s="12">
        <f>LOOKUP(AM68,'Crush Energy'!$A$10:$A$509,'Crush Energy'!$G$10:$G$509)</f>
        <v>2774.5761479442936</v>
      </c>
      <c r="AO68" s="12">
        <f>IF(Dimensions!$D$57="y",Dimensions!$D$61,AN68*M68)</f>
        <v>1208185454.5919998</v>
      </c>
      <c r="AP68" s="12">
        <f t="shared" si="10"/>
        <v>59985256062.836876</v>
      </c>
    </row>
    <row r="69" spans="1:42" ht="10.5">
      <c r="A69" s="5">
        <f t="shared" si="6"/>
        <v>62</v>
      </c>
      <c r="B69" s="5">
        <f t="shared" si="7"/>
        <v>55</v>
      </c>
      <c r="C69" s="5">
        <f t="shared" si="1"/>
        <v>49</v>
      </c>
      <c r="E69" s="5">
        <v>3</v>
      </c>
      <c r="F69" s="5">
        <v>3</v>
      </c>
      <c r="H69" s="9">
        <f t="shared" si="18"/>
        <v>71</v>
      </c>
      <c r="I69" s="98">
        <f t="shared" si="2"/>
        <v>1.0537084398976981</v>
      </c>
      <c r="J69" s="12">
        <f>Dimensions!$D$40*I69</f>
        <v>819534.6888410882</v>
      </c>
      <c r="K69" s="12">
        <f t="shared" si="8"/>
        <v>28242120.175159637</v>
      </c>
      <c r="M69" s="12">
        <f>LOOKUP(C69,'Concrete Mass'!$B$8:$B$123,'Concrete Mass'!$H$8:$H$123)</f>
        <v>435448.656</v>
      </c>
      <c r="N69" s="12">
        <f>LOOKUP(C69,'Concrete Mass'!$B$8:$B$123,'Concrete Mass'!$O$8:$O$123)</f>
        <v>199779.08065312495</v>
      </c>
      <c r="O69" s="12"/>
      <c r="P69" s="118">
        <f>17.0885*Dimensions!$D$23</f>
        <v>49379.88922454016</v>
      </c>
      <c r="Q69" s="118">
        <f>73.2364*Dimensions!$D$23</f>
        <v>211628.01411499624</v>
      </c>
      <c r="R69" s="118">
        <f>244.1214*Dimensions!$D$23</f>
        <v>705426.9063603978</v>
      </c>
      <c r="S69" s="12"/>
      <c r="T69" s="12"/>
      <c r="U69" s="118">
        <f>161.1201*Dimensions!$D$22</f>
        <v>175805.5856319965</v>
      </c>
      <c r="V69" s="118">
        <f>366.1821*Dimensions!$D$22</f>
        <v>399558.2086806941</v>
      </c>
      <c r="X69" s="18">
        <f t="shared" si="3"/>
        <v>436813.4889715329</v>
      </c>
      <c r="Z69" s="12">
        <f t="shared" si="4"/>
        <v>705426.9063603978</v>
      </c>
      <c r="AA69" s="12">
        <f t="shared" si="5"/>
        <v>399558.2086806941</v>
      </c>
      <c r="AC69" s="12">
        <f>IF(Dimensions!$D$52="y",Dimensions!$D$53,J69+M69+N69+X69+Z69+AA69)</f>
        <v>2996561.029506838</v>
      </c>
      <c r="AD69" s="12">
        <f t="shared" si="9"/>
        <v>181593871.69505957</v>
      </c>
      <c r="AE69" s="12"/>
      <c r="AF69" s="9">
        <f t="shared" si="15"/>
        <v>0.27349173962125645</v>
      </c>
      <c r="AH69" s="18">
        <f>Dimensions!$D$49</f>
        <v>269000000</v>
      </c>
      <c r="AI69" s="18">
        <f>Dimensions!$D$50*AJ69</f>
        <v>3031578947.368421</v>
      </c>
      <c r="AJ69" s="17">
        <f t="shared" si="12"/>
        <v>8.421052631578947</v>
      </c>
      <c r="AK69" s="12">
        <f>IF(Dimensions!$D$63="y",Dimensions!$D$64,AH69+AI69)</f>
        <v>0</v>
      </c>
      <c r="AM69" s="105">
        <f>IF(Dimensions!$D$57="y",Dimensions!$D$58,Dimensions!$D$59-((Dimensions!$D$59-Dimensions!$D$60)/109)*(A69-1))</f>
        <v>133.58532110091744</v>
      </c>
      <c r="AN69" s="12">
        <f>LOOKUP(AM69,'Crush Energy'!$A$10:$A$509,'Crush Energy'!$G$10:$G$509)</f>
        <v>2816.2990975374414</v>
      </c>
      <c r="AO69" s="12">
        <f>IF(Dimensions!$D$57="y",Dimensions!$D$61,AN69*M69)</f>
        <v>1226353656.9166918</v>
      </c>
      <c r="AP69" s="12">
        <f t="shared" si="10"/>
        <v>61211609719.75357</v>
      </c>
    </row>
    <row r="70" spans="1:42" ht="10.5">
      <c r="A70" s="5">
        <f t="shared" si="6"/>
        <v>63</v>
      </c>
      <c r="B70" s="5">
        <f t="shared" si="7"/>
        <v>54</v>
      </c>
      <c r="C70" s="5">
        <f t="shared" si="1"/>
        <v>48</v>
      </c>
      <c r="E70" s="5">
        <v>3</v>
      </c>
      <c r="F70" s="5">
        <v>3</v>
      </c>
      <c r="H70" s="9">
        <f t="shared" si="18"/>
        <v>71</v>
      </c>
      <c r="I70" s="98">
        <f t="shared" si="2"/>
        <v>1.0690537084398977</v>
      </c>
      <c r="J70" s="12">
        <f>Dimensions!$D$40*I70</f>
        <v>831469.6600378031</v>
      </c>
      <c r="K70" s="12">
        <f t="shared" si="8"/>
        <v>29073589.83519744</v>
      </c>
      <c r="M70" s="12">
        <f>LOOKUP(C70,'Concrete Mass'!$B$8:$B$123,'Concrete Mass'!$H$8:$H$123)</f>
        <v>435448.656</v>
      </c>
      <c r="N70" s="12">
        <f>LOOKUP(C70,'Concrete Mass'!$B$8:$B$123,'Concrete Mass'!$O$8:$O$123)</f>
        <v>199779.08065312495</v>
      </c>
      <c r="O70" s="12"/>
      <c r="P70" s="118">
        <f>17.0885*Dimensions!$D$23</f>
        <v>49379.88922454016</v>
      </c>
      <c r="Q70" s="118">
        <f>73.2364*Dimensions!$D$23</f>
        <v>211628.01411499624</v>
      </c>
      <c r="R70" s="118">
        <f>244.1214*Dimensions!$D$23</f>
        <v>705426.9063603978</v>
      </c>
      <c r="S70" s="12"/>
      <c r="T70" s="12"/>
      <c r="U70" s="118">
        <f>161.1201*Dimensions!$D$22</f>
        <v>175805.5856319965</v>
      </c>
      <c r="V70" s="118">
        <f>366.1821*Dimensions!$D$22</f>
        <v>399558.2086806941</v>
      </c>
      <c r="X70" s="18">
        <f t="shared" si="3"/>
        <v>436813.4889715329</v>
      </c>
      <c r="Z70" s="12">
        <f t="shared" si="4"/>
        <v>705426.9063603978</v>
      </c>
      <c r="AA70" s="12">
        <f t="shared" si="5"/>
        <v>399558.2086806941</v>
      </c>
      <c r="AC70" s="12">
        <f>IF(Dimensions!$D$52="y",Dimensions!$D$53,J70+M70+N70+X70+Z70+AA70)</f>
        <v>3008496.0007035527</v>
      </c>
      <c r="AD70" s="12">
        <f t="shared" si="9"/>
        <v>184602367.6957631</v>
      </c>
      <c r="AE70" s="12"/>
      <c r="AF70" s="9">
        <f t="shared" si="15"/>
        <v>0.2763738625025127</v>
      </c>
      <c r="AH70" s="18">
        <f>Dimensions!$D$49</f>
        <v>269000000</v>
      </c>
      <c r="AI70" s="18">
        <f>Dimensions!$D$50*AJ70</f>
        <v>3088421052.6315784</v>
      </c>
      <c r="AJ70" s="17">
        <f t="shared" si="12"/>
        <v>8.578947368421051</v>
      </c>
      <c r="AK70" s="12">
        <f>IF(Dimensions!$D$63="y",Dimensions!$D$64,AH70+AI70)</f>
        <v>0</v>
      </c>
      <c r="AM70" s="105">
        <f>IF(Dimensions!$D$57="y",Dimensions!$D$58,Dimensions!$D$59-((Dimensions!$D$59-Dimensions!$D$60)/109)*(A70-1))</f>
        <v>132.05229357798166</v>
      </c>
      <c r="AN70" s="12">
        <f>LOOKUP(AM70,'Crush Energy'!$A$10:$A$509,'Crush Energy'!$G$10:$G$509)</f>
        <v>2837.6346967612094</v>
      </c>
      <c r="AO70" s="12">
        <f>IF(Dimensions!$D$57="y",Dimensions!$D$61,AN70*M70)</f>
        <v>1235644214.9236362</v>
      </c>
      <c r="AP70" s="12">
        <f t="shared" si="10"/>
        <v>62447253934.67721</v>
      </c>
    </row>
    <row r="71" spans="1:42" ht="10.5">
      <c r="A71" s="5">
        <f t="shared" si="6"/>
        <v>64</v>
      </c>
      <c r="B71" s="5">
        <f t="shared" si="7"/>
        <v>53</v>
      </c>
      <c r="C71" s="5">
        <f t="shared" si="1"/>
        <v>47</v>
      </c>
      <c r="E71" s="5">
        <v>3</v>
      </c>
      <c r="F71" s="5">
        <v>3</v>
      </c>
      <c r="H71" s="9">
        <f>$H$8+(($H$117-$H$8)/12)*7</f>
        <v>75.83333333333333</v>
      </c>
      <c r="I71" s="98">
        <f t="shared" si="2"/>
        <v>1.0843989769820972</v>
      </c>
      <c r="J71" s="12">
        <f>Dimensions!$D$40*I71</f>
        <v>843404.631234518</v>
      </c>
      <c r="K71" s="12">
        <f t="shared" si="8"/>
        <v>29916994.46643196</v>
      </c>
      <c r="M71" s="12">
        <f>LOOKUP(C71,'Concrete Mass'!$B$8:$B$123,'Concrete Mass'!$H$8:$H$123)</f>
        <v>435448.656</v>
      </c>
      <c r="N71" s="12">
        <f>LOOKUP(C71,'Concrete Mass'!$B$8:$B$123,'Concrete Mass'!$O$8:$O$123)</f>
        <v>199779.08065312495</v>
      </c>
      <c r="O71" s="12"/>
      <c r="P71" s="118">
        <f>17.0885*Dimensions!$D$23</f>
        <v>49379.88922454016</v>
      </c>
      <c r="Q71" s="118">
        <f>73.2364*Dimensions!$D$23</f>
        <v>211628.01411499624</v>
      </c>
      <c r="R71" s="118">
        <f>244.1214*Dimensions!$D$23</f>
        <v>705426.9063603978</v>
      </c>
      <c r="S71" s="12"/>
      <c r="T71" s="12"/>
      <c r="U71" s="118">
        <f>161.1201*Dimensions!$D$22</f>
        <v>175805.5856319965</v>
      </c>
      <c r="V71" s="118">
        <f>366.1821*Dimensions!$D$22</f>
        <v>399558.2086806941</v>
      </c>
      <c r="X71" s="18">
        <f t="shared" si="3"/>
        <v>436813.4889715329</v>
      </c>
      <c r="Z71" s="12">
        <f t="shared" si="4"/>
        <v>705426.9063603978</v>
      </c>
      <c r="AA71" s="12">
        <f t="shared" si="5"/>
        <v>399558.2086806941</v>
      </c>
      <c r="AC71" s="12">
        <f>IF(Dimensions!$D$52="y",Dimensions!$D$53,J71+M71+N71+X71+Z71+AA71)</f>
        <v>3020430.9719002675</v>
      </c>
      <c r="AD71" s="12">
        <f t="shared" si="9"/>
        <v>187622798.66766337</v>
      </c>
      <c r="AE71" s="12"/>
      <c r="AF71" s="9">
        <f t="shared" si="15"/>
        <v>0.2792332084662409</v>
      </c>
      <c r="AH71" s="18">
        <f>Dimensions!$D$49</f>
        <v>269000000</v>
      </c>
      <c r="AI71" s="18">
        <f>Dimensions!$D$50*AJ71</f>
        <v>3145263157.894737</v>
      </c>
      <c r="AJ71" s="17">
        <f t="shared" si="12"/>
        <v>8.736842105263158</v>
      </c>
      <c r="AK71" s="12">
        <f>IF(Dimensions!$D$63="y",Dimensions!$D$64,AH71+AI71)</f>
        <v>0</v>
      </c>
      <c r="AM71" s="105">
        <f>IF(Dimensions!$D$57="y",Dimensions!$D$58,Dimensions!$D$59-((Dimensions!$D$59-Dimensions!$D$60)/109)*(A71-1))</f>
        <v>130.51926605504588</v>
      </c>
      <c r="AN71" s="12">
        <f>LOOKUP(AM71,'Crush Energy'!$A$10:$A$509,'Crush Energy'!$G$10:$G$509)</f>
        <v>2881.2906151729208</v>
      </c>
      <c r="AO71" s="12">
        <f>IF(Dimensions!$D$57="y",Dimensions!$D$61,AN71*M71)</f>
        <v>1254654125.9224615</v>
      </c>
      <c r="AP71" s="12">
        <f t="shared" si="10"/>
        <v>63701908060.59967</v>
      </c>
    </row>
    <row r="72" spans="1:42" ht="10.5">
      <c r="A72" s="5">
        <f t="shared" si="6"/>
        <v>65</v>
      </c>
      <c r="B72" s="5">
        <f t="shared" si="7"/>
        <v>52</v>
      </c>
      <c r="C72" s="5">
        <f t="shared" si="1"/>
        <v>46</v>
      </c>
      <c r="E72" s="5">
        <v>3</v>
      </c>
      <c r="F72" s="5">
        <v>3</v>
      </c>
      <c r="H72" s="9">
        <f aca="true" t="shared" si="19" ref="H72:H79">$H$8+(($H$117-$H$8)/12)*7</f>
        <v>75.83333333333333</v>
      </c>
      <c r="I72" s="98">
        <f t="shared" si="2"/>
        <v>1.0997442455242967</v>
      </c>
      <c r="J72" s="12">
        <f>Dimensions!$D$40*I72</f>
        <v>855339.6024312329</v>
      </c>
      <c r="K72" s="12">
        <f t="shared" si="8"/>
        <v>30772334.068863194</v>
      </c>
      <c r="M72" s="12">
        <f>LOOKUP(C72,'Concrete Mass'!$B$8:$B$123,'Concrete Mass'!$H$8:$H$123)</f>
        <v>435448.656</v>
      </c>
      <c r="N72" s="12">
        <f>LOOKUP(C72,'Concrete Mass'!$B$8:$B$123,'Concrete Mass'!$O$8:$O$123)</f>
        <v>199779.08065312495</v>
      </c>
      <c r="O72" s="12"/>
      <c r="P72" s="118">
        <f>17.0885*Dimensions!$D$23</f>
        <v>49379.88922454016</v>
      </c>
      <c r="Q72" s="118">
        <f>73.2364*Dimensions!$D$23</f>
        <v>211628.01411499624</v>
      </c>
      <c r="R72" s="118">
        <f>244.1214*Dimensions!$D$23</f>
        <v>705426.9063603978</v>
      </c>
      <c r="S72" s="12"/>
      <c r="T72" s="12"/>
      <c r="U72" s="118">
        <f>161.1201*Dimensions!$D$22</f>
        <v>175805.5856319965</v>
      </c>
      <c r="V72" s="118">
        <f>366.1821*Dimensions!$D$22</f>
        <v>399558.2086806941</v>
      </c>
      <c r="X72" s="18">
        <f t="shared" si="3"/>
        <v>436813.4889715329</v>
      </c>
      <c r="Z72" s="12">
        <f t="shared" si="4"/>
        <v>705426.9063603978</v>
      </c>
      <c r="AA72" s="12">
        <f t="shared" si="5"/>
        <v>399558.2086806941</v>
      </c>
      <c r="AC72" s="12">
        <f>IF(Dimensions!$D$52="y",Dimensions!$D$53,J72+M72+N72+X72+Z72+AA72)</f>
        <v>3032365.9430969823</v>
      </c>
      <c r="AD72" s="12">
        <f t="shared" si="9"/>
        <v>190655164.61076036</v>
      </c>
      <c r="AE72" s="12"/>
      <c r="AF72" s="9">
        <f aca="true" t="shared" si="20" ref="AF72:AF103">J72/AC72</f>
        <v>0.2820700464527929</v>
      </c>
      <c r="AH72" s="18">
        <f>Dimensions!$D$49</f>
        <v>269000000</v>
      </c>
      <c r="AI72" s="18">
        <f>Dimensions!$D$50*AJ72</f>
        <v>3202105263.157895</v>
      </c>
      <c r="AJ72" s="17">
        <f t="shared" si="12"/>
        <v>8.894736842105264</v>
      </c>
      <c r="AK72" s="12">
        <f>IF(Dimensions!$D$63="y",Dimensions!$D$64,AH72+AI72)</f>
        <v>0</v>
      </c>
      <c r="AM72" s="105">
        <f>IF(Dimensions!$D$57="y",Dimensions!$D$58,Dimensions!$D$59-((Dimensions!$D$59-Dimensions!$D$60)/109)*(A72-1))</f>
        <v>128.9862385321101</v>
      </c>
      <c r="AN72" s="12">
        <f>LOOKUP(AM72,'Crush Energy'!$A$10:$A$509,'Crush Energy'!$G$10:$G$509)</f>
        <v>2926.310781034998</v>
      </c>
      <c r="AO72" s="12">
        <f>IF(Dimensions!$D$57="y",Dimensions!$D$61,AN72*M72)</f>
        <v>1274258096.64</v>
      </c>
      <c r="AP72" s="12">
        <f t="shared" si="10"/>
        <v>64976166157.23967</v>
      </c>
    </row>
    <row r="73" spans="1:42" ht="10.5">
      <c r="A73" s="5">
        <f t="shared" si="6"/>
        <v>66</v>
      </c>
      <c r="B73" s="5">
        <f t="shared" si="7"/>
        <v>51</v>
      </c>
      <c r="C73" s="5">
        <f aca="true" t="shared" si="21" ref="C73:C124">B73-6</f>
        <v>45</v>
      </c>
      <c r="E73" s="5">
        <v>5</v>
      </c>
      <c r="F73" s="5">
        <v>5</v>
      </c>
      <c r="H73" s="9">
        <f t="shared" si="19"/>
        <v>75.83333333333333</v>
      </c>
      <c r="I73" s="98">
        <f aca="true" t="shared" si="22" ref="I73:I123">(-30*B73+3710)/1955</f>
        <v>1.1150895140664963</v>
      </c>
      <c r="J73" s="12">
        <f>Dimensions!$D$40*I73</f>
        <v>867274.5736279478</v>
      </c>
      <c r="K73" s="12">
        <f t="shared" si="8"/>
        <v>31639608.642491143</v>
      </c>
      <c r="M73" s="12">
        <f>LOOKUP(C73,'Concrete Mass'!$B$8:$B$123,'Concrete Mass'!$H$8:$H$123)</f>
        <v>435448.656</v>
      </c>
      <c r="N73" s="12">
        <f>LOOKUP(C73,'Concrete Mass'!$B$8:$B$123,'Concrete Mass'!$O$8:$O$123)</f>
        <v>199779.08065312495</v>
      </c>
      <c r="O73" s="12"/>
      <c r="P73" s="118">
        <f>17.0885*Dimensions!$D$23</f>
        <v>49379.88922454016</v>
      </c>
      <c r="Q73" s="118">
        <f>73.2364*Dimensions!$D$23</f>
        <v>211628.01411499624</v>
      </c>
      <c r="R73" s="118">
        <f>244.1214*Dimensions!$D$23</f>
        <v>705426.9063603978</v>
      </c>
      <c r="S73" s="12"/>
      <c r="T73" s="12"/>
      <c r="U73" s="118">
        <f>161.1201*Dimensions!$D$22</f>
        <v>175805.5856319965</v>
      </c>
      <c r="V73" s="118">
        <f>366.1821*Dimensions!$D$22</f>
        <v>399558.2086806941</v>
      </c>
      <c r="X73" s="18">
        <f aca="true" t="shared" si="23" ref="X73:X123">P73+Q73+U73</f>
        <v>436813.4889715329</v>
      </c>
      <c r="Z73" s="12">
        <f aca="true" t="shared" si="24" ref="Z73:Z123">R73</f>
        <v>705426.9063603978</v>
      </c>
      <c r="AA73" s="12">
        <f aca="true" t="shared" si="25" ref="AA73:AA123">V73</f>
        <v>399558.2086806941</v>
      </c>
      <c r="AC73" s="12">
        <f>IF(Dimensions!$D$52="y",Dimensions!$D$53,J73+M73+N73+X73+Z73+AA73)</f>
        <v>3044300.914293697</v>
      </c>
      <c r="AD73" s="12">
        <f t="shared" si="9"/>
        <v>193699465.52505407</v>
      </c>
      <c r="AE73" s="12"/>
      <c r="AF73" s="9">
        <f t="shared" si="20"/>
        <v>0.28488464118507245</v>
      </c>
      <c r="AH73" s="18">
        <f>Dimensions!$D$49</f>
        <v>269000000</v>
      </c>
      <c r="AI73" s="18">
        <f>Dimensions!$D$50*AJ73</f>
        <v>3258947368.4210525</v>
      </c>
      <c r="AJ73" s="17">
        <f t="shared" si="12"/>
        <v>9.052631578947368</v>
      </c>
      <c r="AK73" s="12">
        <f>IF(Dimensions!$D$63="y",Dimensions!$D$64,AH73+AI73)</f>
        <v>0</v>
      </c>
      <c r="AM73" s="105">
        <f>IF(Dimensions!$D$57="y",Dimensions!$D$58,Dimensions!$D$59-((Dimensions!$D$59-Dimensions!$D$60)/109)*(A73-1))</f>
        <v>127.45321100917431</v>
      </c>
      <c r="AN73" s="12">
        <f>LOOKUP(AM73,'Crush Energy'!$A$10:$A$509,'Crush Energy'!$G$10:$G$509)</f>
        <v>2949.3525982085016</v>
      </c>
      <c r="AO73" s="12">
        <f>IF(Dimensions!$D$57="y",Dimensions!$D$61,AN73*M73)</f>
        <v>1284291624.96</v>
      </c>
      <c r="AP73" s="12">
        <f t="shared" si="10"/>
        <v>66260457782.19967</v>
      </c>
    </row>
    <row r="74" spans="1:42" ht="10.5">
      <c r="A74" s="5">
        <f aca="true" t="shared" si="26" ref="A74:A124">A73+1</f>
        <v>67</v>
      </c>
      <c r="B74" s="5">
        <f aca="true" t="shared" si="27" ref="B74:B124">B73-1</f>
        <v>50</v>
      </c>
      <c r="C74" s="5">
        <f t="shared" si="21"/>
        <v>44</v>
      </c>
      <c r="E74" s="5">
        <v>4</v>
      </c>
      <c r="F74" s="5">
        <v>4</v>
      </c>
      <c r="H74" s="9">
        <f t="shared" si="19"/>
        <v>75.83333333333333</v>
      </c>
      <c r="I74" s="98">
        <f t="shared" si="22"/>
        <v>1.1304347826086956</v>
      </c>
      <c r="J74" s="12">
        <f>Dimensions!$D$40*I74</f>
        <v>879209.5448246626</v>
      </c>
      <c r="K74" s="12">
        <f aca="true" t="shared" si="28" ref="K74:K124">K73+J74</f>
        <v>32518818.187315807</v>
      </c>
      <c r="M74" s="12">
        <f>LOOKUP(C74,'Concrete Mass'!$B$8:$B$123,'Concrete Mass'!$H$8:$H$123)</f>
        <v>435448.656</v>
      </c>
      <c r="N74" s="12">
        <f>LOOKUP(C74,'Concrete Mass'!$B$8:$B$123,'Concrete Mass'!$O$8:$O$123)</f>
        <v>199779.08065312495</v>
      </c>
      <c r="O74" s="12"/>
      <c r="P74" s="118">
        <f>17.0885*Dimensions!$D$23</f>
        <v>49379.88922454016</v>
      </c>
      <c r="Q74" s="118">
        <f>73.2364*Dimensions!$D$23</f>
        <v>211628.01411499624</v>
      </c>
      <c r="R74" s="118">
        <f>244.1214*Dimensions!$D$23</f>
        <v>705426.9063603978</v>
      </c>
      <c r="S74" s="12"/>
      <c r="T74" s="12"/>
      <c r="U74" s="118">
        <f>161.1201*Dimensions!$D$22</f>
        <v>175805.5856319965</v>
      </c>
      <c r="V74" s="118">
        <f>366.1821*Dimensions!$D$22</f>
        <v>399558.2086806941</v>
      </c>
      <c r="X74" s="18">
        <f t="shared" si="23"/>
        <v>436813.4889715329</v>
      </c>
      <c r="Z74" s="12">
        <f t="shared" si="24"/>
        <v>705426.9063603978</v>
      </c>
      <c r="AA74" s="12">
        <f t="shared" si="25"/>
        <v>399558.2086806941</v>
      </c>
      <c r="AC74" s="12">
        <f>IF(Dimensions!$D$52="y",Dimensions!$D$53,J74+M74+N74+X74+Z74+AA74)</f>
        <v>3056235.885490412</v>
      </c>
      <c r="AD74" s="12">
        <f aca="true" t="shared" si="29" ref="AD74:AD118">AD73+AC74</f>
        <v>196755701.41054448</v>
      </c>
      <c r="AE74" s="12"/>
      <c r="AF74" s="9">
        <f t="shared" si="20"/>
        <v>0.2876772532508832</v>
      </c>
      <c r="AH74" s="18">
        <f>Dimensions!$D$49</f>
        <v>269000000</v>
      </c>
      <c r="AI74" s="18">
        <f>Dimensions!$D$50*AJ74</f>
        <v>3315789473.6842103</v>
      </c>
      <c r="AJ74" s="17">
        <f t="shared" si="12"/>
        <v>9.210526315789473</v>
      </c>
      <c r="AK74" s="12">
        <f>IF(Dimensions!$D$63="y",Dimensions!$D$64,AH74+AI74)</f>
        <v>0</v>
      </c>
      <c r="AM74" s="105">
        <f>IF(Dimensions!$D$57="y",Dimensions!$D$58,Dimensions!$D$59-((Dimensions!$D$59-Dimensions!$D$60)/109)*(A74-1))</f>
        <v>125.92018348623853</v>
      </c>
      <c r="AN74" s="12">
        <f>LOOKUP(AM74,'Crush Energy'!$A$10:$A$509,'Crush Energy'!$G$10:$G$509)</f>
        <v>2996.5422397798375</v>
      </c>
      <c r="AO74" s="12">
        <f>IF(Dimensions!$D$57="y",Dimensions!$D$61,AN74*M74)</f>
        <v>1304840290.9593601</v>
      </c>
      <c r="AP74" s="12">
        <f aca="true" t="shared" si="30" ref="AP74:AP117">AP73+AO74</f>
        <v>67565298073.15903</v>
      </c>
    </row>
    <row r="75" spans="1:42" ht="10.5">
      <c r="A75" s="5">
        <f t="shared" si="26"/>
        <v>68</v>
      </c>
      <c r="B75" s="5">
        <f t="shared" si="27"/>
        <v>49</v>
      </c>
      <c r="C75" s="5">
        <f t="shared" si="21"/>
        <v>43</v>
      </c>
      <c r="E75" s="5">
        <v>12</v>
      </c>
      <c r="F75" s="5">
        <v>12</v>
      </c>
      <c r="H75" s="9">
        <f t="shared" si="19"/>
        <v>75.83333333333333</v>
      </c>
      <c r="I75" s="98">
        <f t="shared" si="22"/>
        <v>1.145780051150895</v>
      </c>
      <c r="J75" s="12">
        <f>Dimensions!$D$40*I75</f>
        <v>891144.5160213775</v>
      </c>
      <c r="K75" s="12">
        <f t="shared" si="28"/>
        <v>33409962.703337185</v>
      </c>
      <c r="M75" s="12">
        <f>LOOKUP(C75,'Concrete Mass'!$B$8:$B$123,'Concrete Mass'!$H$8:$H$123)</f>
        <v>996088.8006</v>
      </c>
      <c r="N75" s="12">
        <f>LOOKUP(C75,'Concrete Mass'!$B$8:$B$123,'Concrete Mass'!$O$8:$O$123)</f>
        <v>319646.5290449999</v>
      </c>
      <c r="O75" s="12"/>
      <c r="P75" s="117">
        <f>75*Dimensions!$C$105*Dimensions!$D$23</f>
        <v>1058140.3595405968</v>
      </c>
      <c r="Q75" s="117">
        <f>75*Dimensions!$C$105*Dimensions!$D$23</f>
        <v>1058140.3595405968</v>
      </c>
      <c r="R75" s="117">
        <f>75*Dimensions!$C$105*Dimensions!$D$23</f>
        <v>1058140.3595405968</v>
      </c>
      <c r="S75" s="12"/>
      <c r="T75" s="12"/>
      <c r="U75" s="117">
        <f>322.3402*Dimensions!$D$22</f>
        <v>351720.28588447295</v>
      </c>
      <c r="V75" s="117">
        <f>366.1821*Dimensions!$D$22</f>
        <v>399558.2086806941</v>
      </c>
      <c r="X75" s="18">
        <f t="shared" si="23"/>
        <v>2468001.0049656667</v>
      </c>
      <c r="Z75" s="12">
        <f t="shared" si="24"/>
        <v>1058140.3595405968</v>
      </c>
      <c r="AA75" s="12">
        <f t="shared" si="25"/>
        <v>399558.2086806941</v>
      </c>
      <c r="AC75" s="12">
        <f>IF(Dimensions!$D$52="y",Dimensions!$D$53,J75+M75+N75+X75+Z75+AA75)</f>
        <v>6132579.418853334</v>
      </c>
      <c r="AD75" s="12">
        <f t="shared" si="29"/>
        <v>202888280.82939783</v>
      </c>
      <c r="AE75" s="12"/>
      <c r="AF75" s="9">
        <f t="shared" si="20"/>
        <v>0.14531316354122376</v>
      </c>
      <c r="AH75" s="18">
        <f>Dimensions!$D$49</f>
        <v>269000000</v>
      </c>
      <c r="AI75" s="18">
        <f>Dimensions!$D$50*AJ75</f>
        <v>3372631578.947368</v>
      </c>
      <c r="AJ75" s="17">
        <f t="shared" si="12"/>
        <v>9.368421052631579</v>
      </c>
      <c r="AK75" s="12">
        <f>IF(Dimensions!$D$63="y",Dimensions!$D$64,AH75+AI75)</f>
        <v>0</v>
      </c>
      <c r="AM75" s="105">
        <f>IF(Dimensions!$D$57="y",Dimensions!$D$58,Dimensions!$D$59-((Dimensions!$D$59-Dimensions!$D$60)/109)*(A75-1))</f>
        <v>124.38715596330276</v>
      </c>
      <c r="AN75" s="12">
        <f>LOOKUP(AM75,'Crush Energy'!$A$10:$A$509,'Crush Energy'!$G$10:$G$509)</f>
        <v>3020.7079030038685</v>
      </c>
      <c r="AO75" s="12">
        <f>IF(Dimensions!$D$57="y",Dimensions!$D$61,AN75*M75)</f>
        <v>3008893312.0660644</v>
      </c>
      <c r="AP75" s="12">
        <f t="shared" si="30"/>
        <v>70574191385.2251</v>
      </c>
    </row>
    <row r="76" spans="1:42" ht="10.5">
      <c r="A76" s="5">
        <f t="shared" si="26"/>
        <v>69</v>
      </c>
      <c r="B76" s="5">
        <f t="shared" si="27"/>
        <v>48</v>
      </c>
      <c r="C76" s="5">
        <f t="shared" si="21"/>
        <v>42</v>
      </c>
      <c r="E76" s="5">
        <v>13</v>
      </c>
      <c r="F76" s="5">
        <v>13</v>
      </c>
      <c r="H76" s="9">
        <f t="shared" si="19"/>
        <v>75.83333333333333</v>
      </c>
      <c r="I76" s="98">
        <f t="shared" si="22"/>
        <v>1.1611253196930946</v>
      </c>
      <c r="J76" s="12">
        <f>Dimensions!$D$40*I76</f>
        <v>903079.4872180924</v>
      </c>
      <c r="K76" s="12">
        <f t="shared" si="28"/>
        <v>34313042.190555274</v>
      </c>
      <c r="M76" s="12">
        <f>LOOKUP(C76,'Concrete Mass'!$B$8:$B$123,'Concrete Mass'!$H$8:$H$123)</f>
        <v>996088.8006</v>
      </c>
      <c r="N76" s="12">
        <f>LOOKUP(C76,'Concrete Mass'!$B$8:$B$123,'Concrete Mass'!$O$8:$O$123)</f>
        <v>319646.5290449999</v>
      </c>
      <c r="O76" s="12"/>
      <c r="P76" s="117">
        <f>75*Dimensions!$C$105*Dimensions!$D$23</f>
        <v>1058140.3595405968</v>
      </c>
      <c r="Q76" s="117">
        <f>75*Dimensions!$C$105*Dimensions!$D$23</f>
        <v>1058140.3595405968</v>
      </c>
      <c r="R76" s="117">
        <f>75*Dimensions!$C$105*Dimensions!$D$23</f>
        <v>1058140.3595405968</v>
      </c>
      <c r="S76" s="12"/>
      <c r="T76" s="12"/>
      <c r="U76" s="117">
        <f>322.3402*Dimensions!$D$22</f>
        <v>351720.28588447295</v>
      </c>
      <c r="V76" s="117">
        <f>366.1821*Dimensions!$D$22</f>
        <v>399558.2086806941</v>
      </c>
      <c r="X76" s="18">
        <f t="shared" si="23"/>
        <v>2468001.0049656667</v>
      </c>
      <c r="Z76" s="12">
        <f t="shared" si="24"/>
        <v>1058140.3595405968</v>
      </c>
      <c r="AA76" s="12">
        <f t="shared" si="25"/>
        <v>399558.2086806941</v>
      </c>
      <c r="AC76" s="12">
        <f>IF(Dimensions!$D$52="y",Dimensions!$D$53,J76+M76+N76+X76+Z76+AA76)</f>
        <v>6144514.390050049</v>
      </c>
      <c r="AD76" s="12">
        <f t="shared" si="29"/>
        <v>209032795.21944788</v>
      </c>
      <c r="AE76" s="12"/>
      <c r="AF76" s="9">
        <f t="shared" si="20"/>
        <v>0.14697328867525633</v>
      </c>
      <c r="AH76" s="18">
        <f>Dimensions!$D$49</f>
        <v>269000000</v>
      </c>
      <c r="AI76" s="18">
        <f>Dimensions!$D$50*AJ76</f>
        <v>3429473684.210526</v>
      </c>
      <c r="AJ76" s="17">
        <f t="shared" si="12"/>
        <v>9.526315789473683</v>
      </c>
      <c r="AK76" s="12">
        <f>IF(Dimensions!$D$63="y",Dimensions!$D$64,AH76+AI76)</f>
        <v>0</v>
      </c>
      <c r="AM76" s="105">
        <f>IF(Dimensions!$D$57="y",Dimensions!$D$58,Dimensions!$D$59-((Dimensions!$D$59-Dimensions!$D$60)/109)*(A76-1))</f>
        <v>122.85412844036698</v>
      </c>
      <c r="AN76" s="12">
        <f>LOOKUP(AM76,'Crush Energy'!$A$10:$A$509,'Crush Energy'!$G$10:$G$509)</f>
        <v>3070.2277046924564</v>
      </c>
      <c r="AO76" s="12">
        <f>IF(Dimensions!$D$57="y",Dimensions!$D$61,AN76*M76)</f>
        <v>3058219431.936</v>
      </c>
      <c r="AP76" s="12">
        <f t="shared" si="30"/>
        <v>73632410817.1611</v>
      </c>
    </row>
    <row r="77" spans="1:42" ht="10.5">
      <c r="A77" s="5">
        <f t="shared" si="26"/>
        <v>70</v>
      </c>
      <c r="B77" s="5">
        <f t="shared" si="27"/>
        <v>47</v>
      </c>
      <c r="C77" s="5">
        <f t="shared" si="21"/>
        <v>41</v>
      </c>
      <c r="E77" s="5">
        <v>12</v>
      </c>
      <c r="F77" s="5">
        <v>12</v>
      </c>
      <c r="H77" s="9">
        <f t="shared" si="19"/>
        <v>75.83333333333333</v>
      </c>
      <c r="I77" s="98">
        <f t="shared" si="22"/>
        <v>1.1764705882352942</v>
      </c>
      <c r="J77" s="12">
        <f>Dimensions!$D$40*I77</f>
        <v>915014.4584148073</v>
      </c>
      <c r="K77" s="12">
        <f t="shared" si="28"/>
        <v>35228056.64897008</v>
      </c>
      <c r="M77" s="12">
        <f>LOOKUP(C77,'Concrete Mass'!$B$8:$B$123,'Concrete Mass'!$H$8:$H$123)</f>
        <v>996088.8006</v>
      </c>
      <c r="N77" s="12">
        <f>LOOKUP(C77,'Concrete Mass'!$B$8:$B$123,'Concrete Mass'!$O$8:$O$123)</f>
        <v>319646.5290449999</v>
      </c>
      <c r="O77" s="12"/>
      <c r="P77" s="117">
        <f>75*Dimensions!$C$105*Dimensions!$D$23</f>
        <v>1058140.3595405968</v>
      </c>
      <c r="Q77" s="117">
        <f>75*Dimensions!$C$105*Dimensions!$D$23</f>
        <v>1058140.3595405968</v>
      </c>
      <c r="R77" s="117">
        <f>75*Dimensions!$C$105*Dimensions!$D$23</f>
        <v>1058140.3595405968</v>
      </c>
      <c r="S77" s="12"/>
      <c r="T77" s="12"/>
      <c r="U77" s="117">
        <f>322.3402*Dimensions!$D$22</f>
        <v>351720.28588447295</v>
      </c>
      <c r="V77" s="117">
        <f>366.1821*Dimensions!$D$22</f>
        <v>399558.2086806941</v>
      </c>
      <c r="X77" s="18">
        <f t="shared" si="23"/>
        <v>2468001.0049656667</v>
      </c>
      <c r="Z77" s="12">
        <f t="shared" si="24"/>
        <v>1058140.3595405968</v>
      </c>
      <c r="AA77" s="12">
        <f t="shared" si="25"/>
        <v>399558.2086806941</v>
      </c>
      <c r="AC77" s="12">
        <f>IF(Dimensions!$D$52="y",Dimensions!$D$53,J77+M77+N77+X77+Z77+AA77)</f>
        <v>6156449.361246764</v>
      </c>
      <c r="AD77" s="12">
        <f t="shared" si="29"/>
        <v>215189244.58069465</v>
      </c>
      <c r="AE77" s="12"/>
      <c r="AF77" s="9">
        <f t="shared" si="20"/>
        <v>0.14862697712980208</v>
      </c>
      <c r="AH77" s="18">
        <f>Dimensions!$D$49</f>
        <v>269000000</v>
      </c>
      <c r="AI77" s="18">
        <f>Dimensions!$D$50*AJ77</f>
        <v>3486315789.4736843</v>
      </c>
      <c r="AJ77" s="17">
        <f t="shared" si="12"/>
        <v>9.68421052631579</v>
      </c>
      <c r="AK77" s="12">
        <f>IF(Dimensions!$D$63="y",Dimensions!$D$64,AH77+AI77)</f>
        <v>0</v>
      </c>
      <c r="AM77" s="105">
        <f>IF(Dimensions!$D$57="y",Dimensions!$D$58,Dimensions!$D$59-((Dimensions!$D$59-Dimensions!$D$60)/109)*(A77-1))</f>
        <v>121.3211009174312</v>
      </c>
      <c r="AN77" s="12">
        <f>LOOKUP(AM77,'Crush Energy'!$A$10:$A$509,'Crush Energy'!$G$10:$G$509)</f>
        <v>3095.601487375866</v>
      </c>
      <c r="AO77" s="12">
        <f>IF(Dimensions!$D$57="y",Dimensions!$D$61,AN77*M77)</f>
        <v>3083493972.695802</v>
      </c>
      <c r="AP77" s="12">
        <f t="shared" si="30"/>
        <v>76715904789.8569</v>
      </c>
    </row>
    <row r="78" spans="1:42" ht="10.5">
      <c r="A78" s="5">
        <f t="shared" si="26"/>
        <v>71</v>
      </c>
      <c r="B78" s="5">
        <f t="shared" si="27"/>
        <v>46</v>
      </c>
      <c r="C78" s="5">
        <f t="shared" si="21"/>
        <v>40</v>
      </c>
      <c r="E78" s="5">
        <v>1</v>
      </c>
      <c r="F78" s="5">
        <v>1</v>
      </c>
      <c r="H78" s="9">
        <f t="shared" si="19"/>
        <v>75.83333333333333</v>
      </c>
      <c r="I78" s="98">
        <f t="shared" si="22"/>
        <v>1.1918158567774937</v>
      </c>
      <c r="J78" s="12">
        <f>Dimensions!$D$40*I78</f>
        <v>926949.4296115222</v>
      </c>
      <c r="K78" s="12">
        <f t="shared" si="28"/>
        <v>36155006.0785816</v>
      </c>
      <c r="M78" s="12">
        <f>LOOKUP(C78,'Concrete Mass'!$B$8:$B$123,'Concrete Mass'!$H$8:$H$123)</f>
        <v>435448.656</v>
      </c>
      <c r="N78" s="12">
        <f>LOOKUP(C78,'Concrete Mass'!$B$8:$B$123,'Concrete Mass'!$O$8:$O$123)</f>
        <v>199779.08065312495</v>
      </c>
      <c r="O78" s="12"/>
      <c r="P78" s="116">
        <f>3.5*Dimensions!$C$105*Dimensions!$D$23</f>
        <v>49379.88344522785</v>
      </c>
      <c r="Q78" s="116">
        <f>15*Dimensions!$C$105*Dimensions!$D$23</f>
        <v>211628.07190811934</v>
      </c>
      <c r="R78" s="116">
        <f>50*Dimensions!$C$105*Dimensions!$D$23</f>
        <v>705426.9063603978</v>
      </c>
      <c r="S78" s="12"/>
      <c r="T78" s="12"/>
      <c r="U78" s="116">
        <f>161.1201*Dimensions!$D$22</f>
        <v>175805.5856319965</v>
      </c>
      <c r="V78" s="116">
        <f>366.1821*Dimensions!$D$22</f>
        <v>399558.2086806941</v>
      </c>
      <c r="X78" s="18">
        <f t="shared" si="23"/>
        <v>436813.5409853437</v>
      </c>
      <c r="Z78" s="12">
        <f t="shared" si="24"/>
        <v>705426.9063603978</v>
      </c>
      <c r="AA78" s="12">
        <f t="shared" si="25"/>
        <v>399558.2086806941</v>
      </c>
      <c r="AC78" s="12">
        <f>IF(Dimensions!$D$52="y",Dimensions!$D$53,J78+M78+N78+X78+Z78+AA78)</f>
        <v>3103975.8222910827</v>
      </c>
      <c r="AD78" s="12">
        <f t="shared" si="29"/>
        <v>218293220.40298572</v>
      </c>
      <c r="AE78" s="12"/>
      <c r="AF78" s="9">
        <f t="shared" si="20"/>
        <v>0.29863294132469415</v>
      </c>
      <c r="AH78" s="18">
        <f>Dimensions!$D$49</f>
        <v>269000000</v>
      </c>
      <c r="AI78" s="18">
        <f>Dimensions!$D$50*AJ78</f>
        <v>3543157894.7368417</v>
      </c>
      <c r="AJ78" s="17">
        <f t="shared" si="12"/>
        <v>9.842105263157894</v>
      </c>
      <c r="AK78" s="12">
        <f>IF(Dimensions!$D$63="y",Dimensions!$D$64,AH78+AI78)</f>
        <v>0</v>
      </c>
      <c r="AM78" s="105">
        <f>IF(Dimensions!$D$57="y",Dimensions!$D$58,Dimensions!$D$59-((Dimensions!$D$59-Dimensions!$D$60)/109)*(A78-1))</f>
        <v>119.78807339449541</v>
      </c>
      <c r="AN78" s="12">
        <f>LOOKUP(AM78,'Crush Energy'!$A$10:$A$509,'Crush Energy'!$G$10:$G$509)</f>
        <v>3147.628403130081</v>
      </c>
      <c r="AO78" s="12">
        <f>IF(Dimensions!$D$57="y",Dimensions!$D$61,AN78*M78)</f>
        <v>1370630557.73042</v>
      </c>
      <c r="AP78" s="12">
        <f t="shared" si="30"/>
        <v>78086535347.58733</v>
      </c>
    </row>
    <row r="79" spans="1:42" ht="10.5">
      <c r="A79" s="5">
        <f t="shared" si="26"/>
        <v>72</v>
      </c>
      <c r="B79" s="5">
        <f t="shared" si="27"/>
        <v>45</v>
      </c>
      <c r="C79" s="5">
        <f t="shared" si="21"/>
        <v>39</v>
      </c>
      <c r="E79" s="5">
        <v>1</v>
      </c>
      <c r="F79" s="5">
        <v>1</v>
      </c>
      <c r="H79" s="9">
        <f t="shared" si="19"/>
        <v>75.83333333333333</v>
      </c>
      <c r="I79" s="98">
        <f t="shared" si="22"/>
        <v>1.207161125319693</v>
      </c>
      <c r="J79" s="12">
        <f>Dimensions!$D$40*I79</f>
        <v>938884.400808237</v>
      </c>
      <c r="K79" s="12">
        <f t="shared" si="28"/>
        <v>37093890.47938984</v>
      </c>
      <c r="M79" s="12">
        <f>LOOKUP(C79,'Concrete Mass'!$B$8:$B$123,'Concrete Mass'!$H$8:$H$123)</f>
        <v>435448.656</v>
      </c>
      <c r="N79" s="12">
        <f>LOOKUP(C79,'Concrete Mass'!$B$8:$B$123,'Concrete Mass'!$O$8:$O$123)</f>
        <v>199779.08065312495</v>
      </c>
      <c r="O79" s="12"/>
      <c r="P79" s="116">
        <f>3.5*Dimensions!$C$105*Dimensions!$D$23</f>
        <v>49379.88344522785</v>
      </c>
      <c r="Q79" s="116">
        <f>15*Dimensions!$C$105*Dimensions!$D$23</f>
        <v>211628.07190811934</v>
      </c>
      <c r="R79" s="116">
        <f>50*Dimensions!$C$105*Dimensions!$D$23</f>
        <v>705426.9063603978</v>
      </c>
      <c r="S79" s="12"/>
      <c r="T79" s="12"/>
      <c r="U79" s="116">
        <f>161.1201*Dimensions!$D$22</f>
        <v>175805.5856319965</v>
      </c>
      <c r="V79" s="116">
        <f>366.1821*Dimensions!$D$22</f>
        <v>399558.2086806941</v>
      </c>
      <c r="X79" s="18">
        <f t="shared" si="23"/>
        <v>436813.5409853437</v>
      </c>
      <c r="Z79" s="12">
        <f t="shared" si="24"/>
        <v>705426.9063603978</v>
      </c>
      <c r="AA79" s="12">
        <f t="shared" si="25"/>
        <v>399558.2086806941</v>
      </c>
      <c r="AC79" s="12">
        <f>IF(Dimensions!$D$52="y",Dimensions!$D$53,J79+M79+N79+X79+Z79+AA79)</f>
        <v>3115910.7934877975</v>
      </c>
      <c r="AD79" s="12">
        <f t="shared" si="29"/>
        <v>221409131.1964735</v>
      </c>
      <c r="AE79" s="12"/>
      <c r="AF79" s="9">
        <f t="shared" si="20"/>
        <v>0.3013194096475708</v>
      </c>
      <c r="AH79" s="18">
        <f>Dimensions!$D$49</f>
        <v>269000000</v>
      </c>
      <c r="AI79" s="18">
        <f>Dimensions!$D$50*AJ79</f>
        <v>3600000000</v>
      </c>
      <c r="AJ79" s="17">
        <f t="shared" si="12"/>
        <v>10</v>
      </c>
      <c r="AK79" s="12">
        <f>IF(Dimensions!$D$63="y",Dimensions!$D$64,AH79+AI79)</f>
        <v>0</v>
      </c>
      <c r="AM79" s="105">
        <f>IF(Dimensions!$D$57="y",Dimensions!$D$58,Dimensions!$D$59-((Dimensions!$D$59-Dimensions!$D$60)/109)*(A79-1))</f>
        <v>118.25504587155963</v>
      </c>
      <c r="AN79" s="12">
        <f>LOOKUP(AM79,'Crush Energy'!$A$10:$A$509,'Crush Energy'!$G$10:$G$509)</f>
        <v>3174.303220105761</v>
      </c>
      <c r="AO79" s="12">
        <f>IF(Dimensions!$D$57="y",Dimensions!$D$61,AN79*M79)</f>
        <v>1382246070.9315257</v>
      </c>
      <c r="AP79" s="12">
        <f t="shared" si="30"/>
        <v>79468781418.51884</v>
      </c>
    </row>
    <row r="80" spans="1:42" ht="10.5">
      <c r="A80" s="5">
        <f t="shared" si="26"/>
        <v>73</v>
      </c>
      <c r="B80" s="5">
        <f t="shared" si="27"/>
        <v>44</v>
      </c>
      <c r="C80" s="5">
        <f t="shared" si="21"/>
        <v>38</v>
      </c>
      <c r="E80" s="5">
        <v>1</v>
      </c>
      <c r="F80" s="5">
        <v>1</v>
      </c>
      <c r="H80" s="9">
        <f>$H$8+(($H$117-$H$8)/12)*8</f>
        <v>80.66666666666666</v>
      </c>
      <c r="I80" s="98">
        <f t="shared" si="22"/>
        <v>1.2225063938618925</v>
      </c>
      <c r="J80" s="12">
        <f>Dimensions!$D$40*I80</f>
        <v>950819.3720049519</v>
      </c>
      <c r="K80" s="12">
        <f t="shared" si="28"/>
        <v>38044709.85139479</v>
      </c>
      <c r="M80" s="12">
        <f>LOOKUP(C80,'Concrete Mass'!$B$8:$B$123,'Concrete Mass'!$H$8:$H$123)</f>
        <v>435448.656</v>
      </c>
      <c r="N80" s="12">
        <f>LOOKUP(C80,'Concrete Mass'!$B$8:$B$123,'Concrete Mass'!$O$8:$O$123)</f>
        <v>199779.08065312495</v>
      </c>
      <c r="O80" s="12"/>
      <c r="P80" s="116">
        <f>3.5*Dimensions!$C$105*Dimensions!$D$23</f>
        <v>49379.88344522785</v>
      </c>
      <c r="Q80" s="116">
        <f>15*Dimensions!$C$105*Dimensions!$D$23</f>
        <v>211628.07190811934</v>
      </c>
      <c r="R80" s="116">
        <f>50*Dimensions!$C$105*Dimensions!$D$23</f>
        <v>705426.9063603978</v>
      </c>
      <c r="S80" s="12"/>
      <c r="T80" s="12"/>
      <c r="U80" s="116">
        <f>161.1201*Dimensions!$D$22</f>
        <v>175805.5856319965</v>
      </c>
      <c r="V80" s="116">
        <f>366.1821*Dimensions!$D$22</f>
        <v>399558.2086806941</v>
      </c>
      <c r="X80" s="18">
        <f t="shared" si="23"/>
        <v>436813.5409853437</v>
      </c>
      <c r="Z80" s="12">
        <f t="shared" si="24"/>
        <v>705426.9063603978</v>
      </c>
      <c r="AA80" s="12">
        <f t="shared" si="25"/>
        <v>399558.2086806941</v>
      </c>
      <c r="AC80" s="12">
        <f>IF(Dimensions!$D$52="y",Dimensions!$D$53,J80+M80+N80+X80+Z80+AA80)</f>
        <v>3127845.7646845123</v>
      </c>
      <c r="AD80" s="12">
        <f t="shared" si="29"/>
        <v>224536976.961158</v>
      </c>
      <c r="AE80" s="12"/>
      <c r="AF80" s="9">
        <f t="shared" si="20"/>
        <v>0.3039853763700064</v>
      </c>
      <c r="AH80" s="18">
        <f>Dimensions!$D$49</f>
        <v>269000000</v>
      </c>
      <c r="AI80" s="18">
        <f>Dimensions!$D$50*AJ80</f>
        <v>3656842105.2631574</v>
      </c>
      <c r="AJ80" s="17">
        <f t="shared" si="12"/>
        <v>10.157894736842104</v>
      </c>
      <c r="AK80" s="12">
        <f>IF(Dimensions!$D$63="y",Dimensions!$D$64,AH80+AI80)</f>
        <v>0</v>
      </c>
      <c r="AM80" s="105">
        <f>IF(Dimensions!$D$57="y",Dimensions!$D$58,Dimensions!$D$59-((Dimensions!$D$59-Dimensions!$D$60)/109)*(A80-1))</f>
        <v>116.72201834862386</v>
      </c>
      <c r="AN80" s="12">
        <f>LOOKUP(AM80,'Crush Energy'!$A$10:$A$509,'Crush Energy'!$G$10:$G$509)</f>
        <v>3229.032585969653</v>
      </c>
      <c r="AO80" s="12">
        <f>IF(Dimensions!$D$57="y",Dimensions!$D$61,AN80*M80)</f>
        <v>1406077899.74069</v>
      </c>
      <c r="AP80" s="12">
        <f t="shared" si="30"/>
        <v>80874859318.25954</v>
      </c>
    </row>
    <row r="81" spans="1:42" ht="10.5">
      <c r="A81" s="5">
        <f t="shared" si="26"/>
        <v>74</v>
      </c>
      <c r="B81" s="5">
        <f t="shared" si="27"/>
        <v>43</v>
      </c>
      <c r="C81" s="5">
        <f t="shared" si="21"/>
        <v>37</v>
      </c>
      <c r="E81" s="5">
        <v>1</v>
      </c>
      <c r="F81" s="5">
        <v>1</v>
      </c>
      <c r="H81" s="9">
        <f aca="true" t="shared" si="31" ref="H81:H88">$H$8+(($H$117-$H$8)/12)*8</f>
        <v>80.66666666666666</v>
      </c>
      <c r="I81" s="98">
        <f t="shared" si="22"/>
        <v>1.237851662404092</v>
      </c>
      <c r="J81" s="12">
        <f>Dimensions!$D$40*I81</f>
        <v>962754.3432016668</v>
      </c>
      <c r="K81" s="12">
        <f t="shared" si="28"/>
        <v>39007464.194596455</v>
      </c>
      <c r="M81" s="12">
        <f>LOOKUP(C81,'Concrete Mass'!$B$8:$B$123,'Concrete Mass'!$H$8:$H$123)</f>
        <v>435448.656</v>
      </c>
      <c r="N81" s="12">
        <f>LOOKUP(C81,'Concrete Mass'!$B$8:$B$123,'Concrete Mass'!$O$8:$O$123)</f>
        <v>199779.08065312495</v>
      </c>
      <c r="O81" s="12"/>
      <c r="P81" s="116">
        <f>3.5*Dimensions!$C$105*Dimensions!$D$23</f>
        <v>49379.88344522785</v>
      </c>
      <c r="Q81" s="116">
        <f>15*Dimensions!$C$105*Dimensions!$D$23</f>
        <v>211628.07190811934</v>
      </c>
      <c r="R81" s="116">
        <f>50*Dimensions!$C$105*Dimensions!$D$23</f>
        <v>705426.9063603978</v>
      </c>
      <c r="S81" s="12"/>
      <c r="T81" s="12"/>
      <c r="U81" s="116">
        <f>161.1201*Dimensions!$D$22</f>
        <v>175805.5856319965</v>
      </c>
      <c r="V81" s="116">
        <f>366.1821*Dimensions!$D$22</f>
        <v>399558.2086806941</v>
      </c>
      <c r="X81" s="18">
        <f t="shared" si="23"/>
        <v>436813.5409853437</v>
      </c>
      <c r="Z81" s="12">
        <f t="shared" si="24"/>
        <v>705426.9063603978</v>
      </c>
      <c r="AA81" s="12">
        <f t="shared" si="25"/>
        <v>399558.2086806941</v>
      </c>
      <c r="AC81" s="12">
        <f>IF(Dimensions!$D$52="y",Dimensions!$D$53,J81+M81+N81+X81+Z81+AA81)</f>
        <v>3139780.735881227</v>
      </c>
      <c r="AD81" s="12">
        <f t="shared" si="29"/>
        <v>227676757.69703925</v>
      </c>
      <c r="AE81" s="12"/>
      <c r="AF81" s="9">
        <f t="shared" si="20"/>
        <v>0.3066310752847699</v>
      </c>
      <c r="AH81" s="18">
        <f>Dimensions!$D$49</f>
        <v>269000000</v>
      </c>
      <c r="AI81" s="18">
        <f>Dimensions!$D$50*AJ81</f>
        <v>3713684210.5263157</v>
      </c>
      <c r="AJ81" s="17">
        <f t="shared" si="12"/>
        <v>10.31578947368421</v>
      </c>
      <c r="AK81" s="12">
        <f>IF(Dimensions!$D$63="y",Dimensions!$D$64,AH81+AI81)</f>
        <v>0</v>
      </c>
      <c r="AM81" s="105">
        <f>IF(Dimensions!$D$57="y",Dimensions!$D$58,Dimensions!$D$59-((Dimensions!$D$59-Dimensions!$D$60)/109)*(A81-1))</f>
        <v>115.18899082568808</v>
      </c>
      <c r="AN81" s="12">
        <f>LOOKUP(AM81,'Crush Energy'!$A$10:$A$509,'Crush Energy'!$G$10:$G$509)</f>
        <v>3257.1111301954757</v>
      </c>
      <c r="AO81" s="12">
        <f>IF(Dimensions!$D$57="y",Dimensions!$D$61,AN81*M81)</f>
        <v>1418304664.086261</v>
      </c>
      <c r="AP81" s="12">
        <f t="shared" si="30"/>
        <v>82293163982.3458</v>
      </c>
    </row>
    <row r="82" spans="1:42" ht="10.5">
      <c r="A82" s="5">
        <f t="shared" si="26"/>
        <v>75</v>
      </c>
      <c r="B82" s="5">
        <f t="shared" si="27"/>
        <v>42</v>
      </c>
      <c r="C82" s="5">
        <f t="shared" si="21"/>
        <v>36</v>
      </c>
      <c r="E82" s="5">
        <v>1</v>
      </c>
      <c r="F82" s="5">
        <v>1</v>
      </c>
      <c r="H82" s="9">
        <f t="shared" si="31"/>
        <v>80.66666666666666</v>
      </c>
      <c r="I82" s="98">
        <f t="shared" si="22"/>
        <v>1.2531969309462916</v>
      </c>
      <c r="J82" s="12">
        <f>Dimensions!$D$40*I82</f>
        <v>974689.3143983817</v>
      </c>
      <c r="K82" s="12">
        <f t="shared" si="28"/>
        <v>39982153.50899483</v>
      </c>
      <c r="M82" s="12">
        <f>LOOKUP(C82,'Concrete Mass'!$B$8:$B$123,'Concrete Mass'!$H$8:$H$123)</f>
        <v>435448.656</v>
      </c>
      <c r="N82" s="12">
        <f>LOOKUP(C82,'Concrete Mass'!$B$8:$B$123,'Concrete Mass'!$O$8:$O$123)</f>
        <v>199779.08065312495</v>
      </c>
      <c r="O82" s="12"/>
      <c r="P82" s="116">
        <f>3.5*Dimensions!$C$105*Dimensions!$D$23</f>
        <v>49379.88344522785</v>
      </c>
      <c r="Q82" s="116">
        <f>15*Dimensions!$C$105*Dimensions!$D$23</f>
        <v>211628.07190811934</v>
      </c>
      <c r="R82" s="116">
        <f>50*Dimensions!$C$105*Dimensions!$D$23</f>
        <v>705426.9063603978</v>
      </c>
      <c r="S82" s="12"/>
      <c r="T82" s="12"/>
      <c r="U82" s="116">
        <f>161.1201*Dimensions!$D$22</f>
        <v>175805.5856319965</v>
      </c>
      <c r="V82" s="116">
        <f>366.1821*Dimensions!$D$22</f>
        <v>399558.2086806941</v>
      </c>
      <c r="X82" s="18">
        <f t="shared" si="23"/>
        <v>436813.5409853437</v>
      </c>
      <c r="Z82" s="12">
        <f t="shared" si="24"/>
        <v>705426.9063603978</v>
      </c>
      <c r="AA82" s="12">
        <f t="shared" si="25"/>
        <v>399558.2086806941</v>
      </c>
      <c r="AC82" s="12">
        <f>IF(Dimensions!$D$52="y",Dimensions!$D$53,J82+M82+N82+X82+Z82+AA82)</f>
        <v>3151715.7070779423</v>
      </c>
      <c r="AD82" s="12">
        <f t="shared" si="29"/>
        <v>230828473.4041172</v>
      </c>
      <c r="AE82" s="12"/>
      <c r="AF82" s="9">
        <f t="shared" si="20"/>
        <v>0.3092567366433084</v>
      </c>
      <c r="AH82" s="18">
        <f>Dimensions!$D$49</f>
        <v>269000000</v>
      </c>
      <c r="AI82" s="18">
        <f>Dimensions!$D$50*AJ82</f>
        <v>3770526315.7894735</v>
      </c>
      <c r="AJ82" s="17">
        <f t="shared" si="12"/>
        <v>10.473684210526315</v>
      </c>
      <c r="AK82" s="12">
        <f>IF(Dimensions!$D$63="y",Dimensions!$D$64,AH82+AI82)</f>
        <v>0</v>
      </c>
      <c r="AM82" s="105">
        <f>IF(Dimensions!$D$57="y",Dimensions!$D$58,Dimensions!$D$59-((Dimensions!$D$59-Dimensions!$D$60)/109)*(A82-1))</f>
        <v>113.6559633027523</v>
      </c>
      <c r="AN82" s="12">
        <f>LOOKUP(AM82,'Crush Energy'!$A$10:$A$509,'Crush Energy'!$G$10:$G$509)</f>
        <v>3314.759114800705</v>
      </c>
      <c r="AO82" s="12">
        <f>IF(Dimensions!$D$57="y",Dimensions!$D$61,AN82*M82)</f>
        <v>1443407401.5037167</v>
      </c>
      <c r="AP82" s="12">
        <f t="shared" si="30"/>
        <v>83736571383.84952</v>
      </c>
    </row>
    <row r="83" spans="1:42" ht="10.5">
      <c r="A83" s="5">
        <f t="shared" si="26"/>
        <v>76</v>
      </c>
      <c r="B83" s="5">
        <f t="shared" si="27"/>
        <v>41</v>
      </c>
      <c r="C83" s="5">
        <f t="shared" si="21"/>
        <v>35</v>
      </c>
      <c r="E83" s="5">
        <v>1</v>
      </c>
      <c r="F83" s="5">
        <v>1</v>
      </c>
      <c r="H83" s="9">
        <f t="shared" si="31"/>
        <v>80.66666666666666</v>
      </c>
      <c r="I83" s="98">
        <f t="shared" si="22"/>
        <v>1.2685421994884911</v>
      </c>
      <c r="J83" s="12">
        <f>Dimensions!$D$40*I83</f>
        <v>986624.2855950966</v>
      </c>
      <c r="K83" s="12">
        <f t="shared" si="28"/>
        <v>40968777.79458993</v>
      </c>
      <c r="M83" s="12">
        <f>LOOKUP(C83,'Concrete Mass'!$B$8:$B$123,'Concrete Mass'!$H$8:$H$123)</f>
        <v>435448.656</v>
      </c>
      <c r="N83" s="12">
        <f>LOOKUP(C83,'Concrete Mass'!$B$8:$B$123,'Concrete Mass'!$O$8:$O$123)</f>
        <v>199779.08065312495</v>
      </c>
      <c r="O83" s="12"/>
      <c r="P83" s="116">
        <f>3.5*Dimensions!$C$105*Dimensions!$D$23</f>
        <v>49379.88344522785</v>
      </c>
      <c r="Q83" s="116">
        <f>15*Dimensions!$C$105*Dimensions!$D$23</f>
        <v>211628.07190811934</v>
      </c>
      <c r="R83" s="116">
        <f>50*Dimensions!$C$105*Dimensions!$D$23</f>
        <v>705426.9063603978</v>
      </c>
      <c r="S83" s="12"/>
      <c r="T83" s="12"/>
      <c r="U83" s="116">
        <f>161.1201*Dimensions!$D$22</f>
        <v>175805.5856319965</v>
      </c>
      <c r="V83" s="116">
        <f>366.1821*Dimensions!$D$22</f>
        <v>399558.2086806941</v>
      </c>
      <c r="X83" s="18">
        <f t="shared" si="23"/>
        <v>436813.5409853437</v>
      </c>
      <c r="Z83" s="12">
        <f t="shared" si="24"/>
        <v>705426.9063603978</v>
      </c>
      <c r="AA83" s="12">
        <f t="shared" si="25"/>
        <v>399558.2086806941</v>
      </c>
      <c r="AC83" s="12">
        <f>IF(Dimensions!$D$52="y",Dimensions!$D$53,J83+M83+N83+X83+Z83+AA83)</f>
        <v>3163650.678274657</v>
      </c>
      <c r="AD83" s="12">
        <f t="shared" si="29"/>
        <v>233992124.08239186</v>
      </c>
      <c r="AE83" s="12"/>
      <c r="AF83" s="9">
        <f t="shared" si="20"/>
        <v>0.3118625872225459</v>
      </c>
      <c r="AH83" s="18">
        <f>Dimensions!$D$49</f>
        <v>269000000</v>
      </c>
      <c r="AI83" s="18">
        <f>Dimensions!$D$50*AJ83</f>
        <v>3827368421.052632</v>
      </c>
      <c r="AJ83" s="17">
        <f t="shared" si="12"/>
        <v>10.631578947368421</v>
      </c>
      <c r="AK83" s="12">
        <f>IF(Dimensions!$D$63="y",Dimensions!$D$64,AH83+AI83)</f>
        <v>0</v>
      </c>
      <c r="AM83" s="105">
        <f>IF(Dimensions!$D$57="y",Dimensions!$D$58,Dimensions!$D$59-((Dimensions!$D$59-Dimensions!$D$60)/109)*(A83-1))</f>
        <v>112.12293577981652</v>
      </c>
      <c r="AN83" s="12">
        <f>LOOKUP(AM83,'Crush Energy'!$A$10:$A$509,'Crush Energy'!$G$10:$G$509)</f>
        <v>3344.355178325711</v>
      </c>
      <c r="AO83" s="12">
        <f>IF(Dimensions!$D$57="y",Dimensions!$D$61,AN83*M83)</f>
        <v>1456294967.5885713</v>
      </c>
      <c r="AP83" s="12">
        <f t="shared" si="30"/>
        <v>85192866351.4381</v>
      </c>
    </row>
    <row r="84" spans="1:42" ht="10.5">
      <c r="A84" s="5">
        <f t="shared" si="26"/>
        <v>77</v>
      </c>
      <c r="B84" s="5">
        <f t="shared" si="27"/>
        <v>40</v>
      </c>
      <c r="C84" s="5">
        <f t="shared" si="21"/>
        <v>34</v>
      </c>
      <c r="E84" s="5">
        <v>1</v>
      </c>
      <c r="F84" s="5">
        <v>1</v>
      </c>
      <c r="H84" s="9">
        <f t="shared" si="31"/>
        <v>80.66666666666666</v>
      </c>
      <c r="I84" s="98">
        <f t="shared" si="22"/>
        <v>1.2838874680306904</v>
      </c>
      <c r="J84" s="12">
        <f>Dimensions!$D$40*I84</f>
        <v>998559.2567918113</v>
      </c>
      <c r="K84" s="12">
        <f t="shared" si="28"/>
        <v>41967337.05138174</v>
      </c>
      <c r="M84" s="12">
        <f>LOOKUP(C84,'Concrete Mass'!$B$8:$B$123,'Concrete Mass'!$H$8:$H$123)</f>
        <v>435448.656</v>
      </c>
      <c r="N84" s="12">
        <f>LOOKUP(C84,'Concrete Mass'!$B$8:$B$123,'Concrete Mass'!$O$8:$O$123)</f>
        <v>199779.08065312495</v>
      </c>
      <c r="O84" s="12"/>
      <c r="P84" s="116">
        <f>3.5*Dimensions!$C$105*Dimensions!$D$23</f>
        <v>49379.88344522785</v>
      </c>
      <c r="Q84" s="116">
        <f>15*Dimensions!$C$105*Dimensions!$D$23</f>
        <v>211628.07190811934</v>
      </c>
      <c r="R84" s="116">
        <f>50*Dimensions!$C$105*Dimensions!$D$23</f>
        <v>705426.9063603978</v>
      </c>
      <c r="S84" s="12"/>
      <c r="T84" s="12"/>
      <c r="U84" s="116">
        <f>161.1201*Dimensions!$D$22</f>
        <v>175805.5856319965</v>
      </c>
      <c r="V84" s="116">
        <f>366.1821*Dimensions!$D$22</f>
        <v>399558.2086806941</v>
      </c>
      <c r="X84" s="18">
        <f t="shared" si="23"/>
        <v>436813.5409853437</v>
      </c>
      <c r="Z84" s="12">
        <f t="shared" si="24"/>
        <v>705426.9063603978</v>
      </c>
      <c r="AA84" s="12">
        <f t="shared" si="25"/>
        <v>399558.2086806941</v>
      </c>
      <c r="AC84" s="12">
        <f>IF(Dimensions!$D$52="y",Dimensions!$D$53,J84+M84+N84+X84+Z84+AA84)</f>
        <v>3175585.649471372</v>
      </c>
      <c r="AD84" s="12">
        <f t="shared" si="29"/>
        <v>237167709.73186323</v>
      </c>
      <c r="AE84" s="12"/>
      <c r="AF84" s="9">
        <f t="shared" si="20"/>
        <v>0.3144488503901754</v>
      </c>
      <c r="AH84" s="18">
        <f>Dimensions!$D$49</f>
        <v>269000000</v>
      </c>
      <c r="AI84" s="18">
        <f>Dimensions!$D$50*AJ84</f>
        <v>3884210526.315789</v>
      </c>
      <c r="AJ84" s="17">
        <f t="shared" si="12"/>
        <v>10.789473684210526</v>
      </c>
      <c r="AK84" s="12">
        <f>IF(Dimensions!$D$63="y",Dimensions!$D$64,AH84+AI84)</f>
        <v>0</v>
      </c>
      <c r="AM84" s="105">
        <f>IF(Dimensions!$D$57="y",Dimensions!$D$58,Dimensions!$D$59-((Dimensions!$D$59-Dimensions!$D$60)/109)*(A84-1))</f>
        <v>110.58990825688073</v>
      </c>
      <c r="AN84" s="12">
        <f>LOOKUP(AM84,'Crush Energy'!$A$10:$A$509,'Crush Energy'!$G$10:$G$509)</f>
        <v>3405.161636113452</v>
      </c>
      <c r="AO84" s="12">
        <f>IF(Dimensions!$D$57="y",Dimensions!$D$61,AN84*M84)</f>
        <v>1482773057.9083638</v>
      </c>
      <c r="AP84" s="12">
        <f t="shared" si="30"/>
        <v>86675639409.34647</v>
      </c>
    </row>
    <row r="85" spans="1:42" ht="10.5">
      <c r="A85" s="5">
        <f t="shared" si="26"/>
        <v>78</v>
      </c>
      <c r="B85" s="5">
        <f t="shared" si="27"/>
        <v>39</v>
      </c>
      <c r="C85" s="5">
        <f t="shared" si="21"/>
        <v>33</v>
      </c>
      <c r="E85" s="5">
        <v>1</v>
      </c>
      <c r="F85" s="5">
        <v>1</v>
      </c>
      <c r="H85" s="9">
        <f t="shared" si="31"/>
        <v>80.66666666666666</v>
      </c>
      <c r="I85" s="98">
        <f t="shared" si="22"/>
        <v>1.29923273657289</v>
      </c>
      <c r="J85" s="12">
        <f>Dimensions!$D$40*I85</f>
        <v>1010494.2279885263</v>
      </c>
      <c r="K85" s="12">
        <f t="shared" si="28"/>
        <v>42977831.27937026</v>
      </c>
      <c r="M85" s="12">
        <f>LOOKUP(C85,'Concrete Mass'!$B$8:$B$123,'Concrete Mass'!$H$8:$H$123)</f>
        <v>435448.656</v>
      </c>
      <c r="N85" s="12">
        <f>LOOKUP(C85,'Concrete Mass'!$B$8:$B$123,'Concrete Mass'!$O$8:$O$123)</f>
        <v>199779.08065312495</v>
      </c>
      <c r="O85" s="12"/>
      <c r="P85" s="116">
        <f>3.5*Dimensions!$C$105*Dimensions!$D$23</f>
        <v>49379.88344522785</v>
      </c>
      <c r="Q85" s="116">
        <f>15*Dimensions!$C$105*Dimensions!$D$23</f>
        <v>211628.07190811934</v>
      </c>
      <c r="R85" s="116">
        <f>50*Dimensions!$C$105*Dimensions!$D$23</f>
        <v>705426.9063603978</v>
      </c>
      <c r="S85" s="12"/>
      <c r="T85" s="12"/>
      <c r="U85" s="116">
        <f>161.1201*Dimensions!$D$22</f>
        <v>175805.5856319965</v>
      </c>
      <c r="V85" s="116">
        <f>366.1821*Dimensions!$D$22</f>
        <v>399558.2086806941</v>
      </c>
      <c r="X85" s="18">
        <f t="shared" si="23"/>
        <v>436813.5409853437</v>
      </c>
      <c r="Z85" s="12">
        <f t="shared" si="24"/>
        <v>705426.9063603978</v>
      </c>
      <c r="AA85" s="12">
        <f t="shared" si="25"/>
        <v>399558.2086806941</v>
      </c>
      <c r="AC85" s="12">
        <f>IF(Dimensions!$D$52="y",Dimensions!$D$53,J85+M85+N85+X85+Z85+AA85)</f>
        <v>3187520.620668087</v>
      </c>
      <c r="AD85" s="12">
        <f t="shared" si="29"/>
        <v>240355230.3525313</v>
      </c>
      <c r="AE85" s="12"/>
      <c r="AF85" s="9">
        <f t="shared" si="20"/>
        <v>0.3170157461684851</v>
      </c>
      <c r="AH85" s="18">
        <f>Dimensions!$D$49</f>
        <v>269000000</v>
      </c>
      <c r="AI85" s="18">
        <f>Dimensions!$D$50*AJ85</f>
        <v>3941052631.5789475</v>
      </c>
      <c r="AJ85" s="17">
        <f t="shared" si="12"/>
        <v>10.947368421052632</v>
      </c>
      <c r="AK85" s="12">
        <f>IF(Dimensions!$D$63="y",Dimensions!$D$64,AH85+AI85)</f>
        <v>0</v>
      </c>
      <c r="AM85" s="105">
        <f>IF(Dimensions!$D$57="y",Dimensions!$D$58,Dimensions!$D$59-((Dimensions!$D$59-Dimensions!$D$60)/109)*(A85-1))</f>
        <v>109.05688073394495</v>
      </c>
      <c r="AN85" s="12">
        <f>LOOKUP(AM85,'Crush Energy'!$A$10:$A$509,'Crush Energy'!$G$10:$G$509)</f>
        <v>3436.4016511236664</v>
      </c>
      <c r="AO85" s="12">
        <f>IF(Dimensions!$D$57="y",Dimensions!$D$61,AN85*M85)</f>
        <v>1496376480.4579816</v>
      </c>
      <c r="AP85" s="12">
        <f t="shared" si="30"/>
        <v>88172015889.80444</v>
      </c>
    </row>
    <row r="86" spans="1:42" ht="10.5">
      <c r="A86" s="5">
        <f t="shared" si="26"/>
        <v>79</v>
      </c>
      <c r="B86" s="5">
        <f t="shared" si="27"/>
        <v>38</v>
      </c>
      <c r="C86" s="5">
        <f t="shared" si="21"/>
        <v>32</v>
      </c>
      <c r="E86" s="5">
        <v>1</v>
      </c>
      <c r="F86" s="5">
        <v>1</v>
      </c>
      <c r="H86" s="9">
        <f t="shared" si="31"/>
        <v>80.66666666666666</v>
      </c>
      <c r="I86" s="98">
        <f t="shared" si="22"/>
        <v>1.3145780051150895</v>
      </c>
      <c r="J86" s="12">
        <f>Dimensions!$D$40*I86</f>
        <v>1022429.1991852412</v>
      </c>
      <c r="K86" s="12">
        <f t="shared" si="28"/>
        <v>44000260.47855551</v>
      </c>
      <c r="M86" s="12">
        <f>LOOKUP(C86,'Concrete Mass'!$B$8:$B$123,'Concrete Mass'!$H$8:$H$123)</f>
        <v>435448.656</v>
      </c>
      <c r="N86" s="12">
        <f>LOOKUP(C86,'Concrete Mass'!$B$8:$B$123,'Concrete Mass'!$O$8:$O$123)</f>
        <v>199779.08065312495</v>
      </c>
      <c r="O86" s="12"/>
      <c r="P86" s="116">
        <f>3.5*Dimensions!$C$105*Dimensions!$D$23</f>
        <v>49379.88344522785</v>
      </c>
      <c r="Q86" s="116">
        <f>15*Dimensions!$C$105*Dimensions!$D$23</f>
        <v>211628.07190811934</v>
      </c>
      <c r="R86" s="116">
        <f>50*Dimensions!$C$105*Dimensions!$D$23</f>
        <v>705426.9063603978</v>
      </c>
      <c r="S86" s="12"/>
      <c r="T86" s="12"/>
      <c r="U86" s="116">
        <f>161.1201*Dimensions!$D$22</f>
        <v>175805.5856319965</v>
      </c>
      <c r="V86" s="116">
        <f>366.1821*Dimensions!$D$22</f>
        <v>399558.2086806941</v>
      </c>
      <c r="X86" s="18">
        <f t="shared" si="23"/>
        <v>436813.5409853437</v>
      </c>
      <c r="Z86" s="12">
        <f t="shared" si="24"/>
        <v>705426.9063603978</v>
      </c>
      <c r="AA86" s="12">
        <f t="shared" si="25"/>
        <v>399558.2086806941</v>
      </c>
      <c r="AC86" s="12">
        <f>IF(Dimensions!$D$52="y",Dimensions!$D$53,J86+M86+N86+X86+Z86+AA86)</f>
        <v>3199455.591864802</v>
      </c>
      <c r="AD86" s="12">
        <f t="shared" si="29"/>
        <v>243554685.9443961</v>
      </c>
      <c r="AE86" s="12"/>
      <c r="AF86" s="9">
        <f t="shared" si="20"/>
        <v>0.3195634912967548</v>
      </c>
      <c r="AH86" s="18">
        <f>Dimensions!$D$49</f>
        <v>269000000</v>
      </c>
      <c r="AI86" s="18">
        <f>Dimensions!$D$50*AJ86</f>
        <v>3997894736.842105</v>
      </c>
      <c r="AJ86" s="17">
        <f t="shared" si="12"/>
        <v>11.105263157894736</v>
      </c>
      <c r="AK86" s="12">
        <f>IF(Dimensions!$D$63="y",Dimensions!$D$64,AH86+AI86)</f>
        <v>0</v>
      </c>
      <c r="AM86" s="105">
        <f>IF(Dimensions!$D$57="y",Dimensions!$D$58,Dimensions!$D$59-((Dimensions!$D$59-Dimensions!$D$60)/109)*(A86-1))</f>
        <v>107.52385321100918</v>
      </c>
      <c r="AN86" s="12">
        <f>LOOKUP(AM86,'Crush Energy'!$A$10:$A$509,'Crush Energy'!$G$10:$G$509)</f>
        <v>3500.633457686726</v>
      </c>
      <c r="AO86" s="12">
        <f>IF(Dimensions!$D$57="y",Dimensions!$D$61,AN86*M86)</f>
        <v>1524346134.298318</v>
      </c>
      <c r="AP86" s="12">
        <f t="shared" si="30"/>
        <v>89696362024.10277</v>
      </c>
    </row>
    <row r="87" spans="1:42" ht="10.5">
      <c r="A87" s="5">
        <f t="shared" si="26"/>
        <v>80</v>
      </c>
      <c r="B87" s="5">
        <f t="shared" si="27"/>
        <v>37</v>
      </c>
      <c r="C87" s="5">
        <f t="shared" si="21"/>
        <v>31</v>
      </c>
      <c r="E87" s="5">
        <v>1</v>
      </c>
      <c r="F87" s="5">
        <v>1</v>
      </c>
      <c r="H87" s="9">
        <f t="shared" si="31"/>
        <v>80.66666666666666</v>
      </c>
      <c r="I87" s="98">
        <f t="shared" si="22"/>
        <v>1.329923273657289</v>
      </c>
      <c r="J87" s="12">
        <f>Dimensions!$D$40*I87</f>
        <v>1034364.1703819562</v>
      </c>
      <c r="K87" s="12">
        <f t="shared" si="28"/>
        <v>45034624.648937464</v>
      </c>
      <c r="M87" s="12">
        <f>LOOKUP(C87,'Concrete Mass'!$B$8:$B$123,'Concrete Mass'!$H$8:$H$123)</f>
        <v>435448.656</v>
      </c>
      <c r="N87" s="12">
        <f>LOOKUP(C87,'Concrete Mass'!$B$8:$B$123,'Concrete Mass'!$O$8:$O$123)</f>
        <v>199779.08065312495</v>
      </c>
      <c r="O87" s="12"/>
      <c r="P87" s="116">
        <f>3.5*Dimensions!$C$105*Dimensions!$D$23</f>
        <v>49379.88344522785</v>
      </c>
      <c r="Q87" s="116">
        <f>15*Dimensions!$C$105*Dimensions!$D$23</f>
        <v>211628.07190811934</v>
      </c>
      <c r="R87" s="116">
        <f>50*Dimensions!$C$105*Dimensions!$D$23</f>
        <v>705426.9063603978</v>
      </c>
      <c r="S87" s="12"/>
      <c r="T87" s="12"/>
      <c r="U87" s="116">
        <f>161.1201*Dimensions!$D$22</f>
        <v>175805.5856319965</v>
      </c>
      <c r="V87" s="116">
        <f>366.1821*Dimensions!$D$22</f>
        <v>399558.2086806941</v>
      </c>
      <c r="X87" s="18">
        <f t="shared" si="23"/>
        <v>436813.5409853437</v>
      </c>
      <c r="Z87" s="12">
        <f t="shared" si="24"/>
        <v>705426.9063603978</v>
      </c>
      <c r="AA87" s="12">
        <f t="shared" si="25"/>
        <v>399558.2086806941</v>
      </c>
      <c r="AC87" s="12">
        <f>IF(Dimensions!$D$52="y",Dimensions!$D$53,J87+M87+N87+X87+Z87+AA87)</f>
        <v>3211390.5630615167</v>
      </c>
      <c r="AD87" s="12">
        <f t="shared" si="29"/>
        <v>246766076.5074576</v>
      </c>
      <c r="AE87" s="12"/>
      <c r="AF87" s="9">
        <f t="shared" si="20"/>
        <v>0.3220922992922621</v>
      </c>
      <c r="AH87" s="18">
        <f>Dimensions!$D$49</f>
        <v>269000000</v>
      </c>
      <c r="AI87" s="18">
        <f>Dimensions!$D$50*AJ87</f>
        <v>4054736842.1052628</v>
      </c>
      <c r="AJ87" s="17">
        <f t="shared" si="12"/>
        <v>11.26315789473684</v>
      </c>
      <c r="AK87" s="12">
        <f>IF(Dimensions!$D$63="y",Dimensions!$D$64,AH87+AI87)</f>
        <v>0</v>
      </c>
      <c r="AM87" s="105">
        <f>IF(Dimensions!$D$57="y",Dimensions!$D$58,Dimensions!$D$59-((Dimensions!$D$59-Dimensions!$D$60)/109)*(A87-1))</f>
        <v>105.9908256880734</v>
      </c>
      <c r="AN87" s="12">
        <f>LOOKUP(AM87,'Crush Energy'!$A$10:$A$509,'Crush Energy'!$G$10:$G$509)</f>
        <v>3567.312190214092</v>
      </c>
      <c r="AO87" s="12">
        <f>IF(Dimensions!$D$57="y",Dimensions!$D$61,AN87*M87)</f>
        <v>1553381298.7611427</v>
      </c>
      <c r="AP87" s="12">
        <f t="shared" si="30"/>
        <v>91249743322.8639</v>
      </c>
    </row>
    <row r="88" spans="1:42" ht="10.5">
      <c r="A88" s="5">
        <f t="shared" si="26"/>
        <v>81</v>
      </c>
      <c r="B88" s="5">
        <f t="shared" si="27"/>
        <v>36</v>
      </c>
      <c r="C88" s="5">
        <f t="shared" si="21"/>
        <v>30</v>
      </c>
      <c r="E88" s="5">
        <v>1</v>
      </c>
      <c r="F88" s="5">
        <v>1</v>
      </c>
      <c r="H88" s="9">
        <f t="shared" si="31"/>
        <v>80.66666666666666</v>
      </c>
      <c r="I88" s="98">
        <f t="shared" si="22"/>
        <v>1.3452685421994885</v>
      </c>
      <c r="J88" s="12">
        <f>Dimensions!$D$40*I88</f>
        <v>1046299.141578671</v>
      </c>
      <c r="K88" s="12">
        <f t="shared" si="28"/>
        <v>46080923.79051614</v>
      </c>
      <c r="M88" s="12">
        <f>LOOKUP(C88,'Concrete Mass'!$B$8:$B$123,'Concrete Mass'!$H$8:$H$123)</f>
        <v>435448.656</v>
      </c>
      <c r="N88" s="12">
        <f>LOOKUP(C88,'Concrete Mass'!$B$8:$B$123,'Concrete Mass'!$O$8:$O$123)</f>
        <v>199779.08065312495</v>
      </c>
      <c r="O88" s="12"/>
      <c r="P88" s="116">
        <f>3.5*Dimensions!$C$105*Dimensions!$D$23</f>
        <v>49379.88344522785</v>
      </c>
      <c r="Q88" s="116">
        <f>15*Dimensions!$C$105*Dimensions!$D$23</f>
        <v>211628.07190811934</v>
      </c>
      <c r="R88" s="116">
        <f>50*Dimensions!$C$105*Dimensions!$D$23</f>
        <v>705426.9063603978</v>
      </c>
      <c r="S88" s="12"/>
      <c r="T88" s="12"/>
      <c r="U88" s="116">
        <f>161.1201*Dimensions!$D$22</f>
        <v>175805.5856319965</v>
      </c>
      <c r="V88" s="116">
        <f>366.1821*Dimensions!$D$22</f>
        <v>399558.2086806941</v>
      </c>
      <c r="X88" s="18">
        <f t="shared" si="23"/>
        <v>436813.5409853437</v>
      </c>
      <c r="Z88" s="12">
        <f t="shared" si="24"/>
        <v>705426.9063603978</v>
      </c>
      <c r="AA88" s="12">
        <f t="shared" si="25"/>
        <v>399558.2086806941</v>
      </c>
      <c r="AC88" s="12">
        <f>IF(Dimensions!$D$52="y",Dimensions!$D$53,J88+M88+N88+X88+Z88+AA88)</f>
        <v>3223325.5342582315</v>
      </c>
      <c r="AD88" s="12">
        <f t="shared" si="29"/>
        <v>249989402.04171586</v>
      </c>
      <c r="AE88" s="12"/>
      <c r="AF88" s="9">
        <f t="shared" si="20"/>
        <v>0.32460238050993223</v>
      </c>
      <c r="AH88" s="18">
        <f>Dimensions!$D$49</f>
        <v>269000000</v>
      </c>
      <c r="AI88" s="18">
        <f>Dimensions!$D$50*AJ88</f>
        <v>4111578947.368421</v>
      </c>
      <c r="AJ88" s="17">
        <f aca="true" t="shared" si="32" ref="AJ88:AJ117">1+(15/95)*(A88-15)</f>
        <v>11.421052631578947</v>
      </c>
      <c r="AK88" s="12">
        <f>IF(Dimensions!$D$63="y",Dimensions!$D$64,AH88+AI88)</f>
        <v>0</v>
      </c>
      <c r="AM88" s="105">
        <f>IF(Dimensions!$D$57="y",Dimensions!$D$58,Dimensions!$D$59-((Dimensions!$D$59-Dimensions!$D$60)/109)*(A88-1))</f>
        <v>104.45779816513762</v>
      </c>
      <c r="AN88" s="12">
        <f>LOOKUP(AM88,'Crush Energy'!$A$10:$A$509,'Crush Energy'!$G$10:$G$509)</f>
        <v>3601.6132689661513</v>
      </c>
      <c r="AO88" s="12">
        <f>IF(Dimensions!$D$57="y",Dimensions!$D$61,AN88*M88)</f>
        <v>1568317657.4030771</v>
      </c>
      <c r="AP88" s="12">
        <f t="shared" si="30"/>
        <v>92818060980.26698</v>
      </c>
    </row>
    <row r="89" spans="1:42" ht="10.5">
      <c r="A89" s="5">
        <f t="shared" si="26"/>
        <v>82</v>
      </c>
      <c r="B89" s="5">
        <f t="shared" si="27"/>
        <v>35</v>
      </c>
      <c r="C89" s="5">
        <f t="shared" si="21"/>
        <v>29</v>
      </c>
      <c r="E89" s="5">
        <v>1</v>
      </c>
      <c r="F89" s="5">
        <v>1</v>
      </c>
      <c r="H89" s="9">
        <f>$H$8+(($H$117-$H$8)/12)*9</f>
        <v>85.5</v>
      </c>
      <c r="I89" s="98">
        <f t="shared" si="22"/>
        <v>1.360613810741688</v>
      </c>
      <c r="J89" s="12">
        <f>Dimensions!$D$40*I89</f>
        <v>1058234.1127753858</v>
      </c>
      <c r="K89" s="12">
        <f t="shared" si="28"/>
        <v>47139157.90329152</v>
      </c>
      <c r="M89" s="12">
        <f>LOOKUP(C89,'Concrete Mass'!$B$8:$B$123,'Concrete Mass'!$H$8:$H$123)</f>
        <v>435448.656</v>
      </c>
      <c r="N89" s="12">
        <f>LOOKUP(C89,'Concrete Mass'!$B$8:$B$123,'Concrete Mass'!$O$8:$O$123)</f>
        <v>199779.08065312495</v>
      </c>
      <c r="O89" s="12"/>
      <c r="P89" s="116">
        <f>3.5*Dimensions!$C$105*Dimensions!$D$23</f>
        <v>49379.88344522785</v>
      </c>
      <c r="Q89" s="116">
        <f>15*Dimensions!$C$105*Dimensions!$D$23</f>
        <v>211628.07190811934</v>
      </c>
      <c r="R89" s="116">
        <f>50*Dimensions!$C$105*Dimensions!$D$23</f>
        <v>705426.9063603978</v>
      </c>
      <c r="S89" s="12"/>
      <c r="T89" s="12"/>
      <c r="U89" s="116">
        <f>161.1201*Dimensions!$D$22</f>
        <v>175805.5856319965</v>
      </c>
      <c r="V89" s="116">
        <f>366.1821*Dimensions!$D$22</f>
        <v>399558.2086806941</v>
      </c>
      <c r="X89" s="18">
        <f t="shared" si="23"/>
        <v>436813.5409853437</v>
      </c>
      <c r="Z89" s="12">
        <f t="shared" si="24"/>
        <v>705426.9063603978</v>
      </c>
      <c r="AA89" s="12">
        <f t="shared" si="25"/>
        <v>399558.2086806941</v>
      </c>
      <c r="AC89" s="12">
        <f>IF(Dimensions!$D$52="y",Dimensions!$D$53,J89+M89+N89+X89+Z89+AA89)</f>
        <v>3235260.5054549463</v>
      </c>
      <c r="AD89" s="12">
        <f t="shared" si="29"/>
        <v>253224662.54717082</v>
      </c>
      <c r="AE89" s="12"/>
      <c r="AF89" s="9">
        <f t="shared" si="20"/>
        <v>0.3270939422006685</v>
      </c>
      <c r="AH89" s="18">
        <f>Dimensions!$D$49</f>
        <v>269000000</v>
      </c>
      <c r="AI89" s="18">
        <f>Dimensions!$D$50*AJ89</f>
        <v>4168421052.6315784</v>
      </c>
      <c r="AJ89" s="17">
        <f t="shared" si="32"/>
        <v>11.578947368421051</v>
      </c>
      <c r="AK89" s="12">
        <f>IF(Dimensions!$D$63="y",Dimensions!$D$64,AH89+AI89)</f>
        <v>0</v>
      </c>
      <c r="AM89" s="105">
        <f>IF(Dimensions!$D$57="y",Dimensions!$D$58,Dimensions!$D$59-((Dimensions!$D$59-Dimensions!$D$60)/109)*(A89-1))</f>
        <v>102.92477064220184</v>
      </c>
      <c r="AN89" s="12">
        <f>LOOKUP(AM89,'Crush Energy'!$A$10:$A$509,'Crush Energy'!$G$10:$G$509)</f>
        <v>3672.233136985095</v>
      </c>
      <c r="AO89" s="12">
        <f>IF(Dimensions!$D$57="y",Dimensions!$D$61,AN89*M89)</f>
        <v>1599068984.0188236</v>
      </c>
      <c r="AP89" s="12">
        <f t="shared" si="30"/>
        <v>94417129964.28581</v>
      </c>
    </row>
    <row r="90" spans="1:42" ht="10.5">
      <c r="A90" s="5">
        <f t="shared" si="26"/>
        <v>83</v>
      </c>
      <c r="B90" s="5">
        <f t="shared" si="27"/>
        <v>34</v>
      </c>
      <c r="C90" s="5">
        <f t="shared" si="21"/>
        <v>28</v>
      </c>
      <c r="E90" s="5">
        <v>1</v>
      </c>
      <c r="F90" s="5">
        <v>1</v>
      </c>
      <c r="H90" s="9">
        <f aca="true" t="shared" si="33" ref="H90:H97">$H$8+(($H$117-$H$8)/12)*9</f>
        <v>85.5</v>
      </c>
      <c r="I90" s="98">
        <f t="shared" si="22"/>
        <v>1.3759590792838874</v>
      </c>
      <c r="J90" s="12">
        <f>Dimensions!$D$40*I90</f>
        <v>1070169.0839721006</v>
      </c>
      <c r="K90" s="12">
        <f t="shared" si="28"/>
        <v>48209326.98726363</v>
      </c>
      <c r="M90" s="12">
        <f>LOOKUP(C90,'Concrete Mass'!$B$8:$B$123,'Concrete Mass'!$H$8:$H$123)</f>
        <v>435448.656</v>
      </c>
      <c r="N90" s="12">
        <f>LOOKUP(C90,'Concrete Mass'!$B$8:$B$123,'Concrete Mass'!$O$8:$O$123)</f>
        <v>199779.08065312495</v>
      </c>
      <c r="O90" s="12"/>
      <c r="P90" s="116">
        <f>3.5*Dimensions!$C$105*Dimensions!$D$23</f>
        <v>49379.88344522785</v>
      </c>
      <c r="Q90" s="116">
        <f>15*Dimensions!$C$105*Dimensions!$D$23</f>
        <v>211628.07190811934</v>
      </c>
      <c r="R90" s="116">
        <f>50*Dimensions!$C$105*Dimensions!$D$23</f>
        <v>705426.9063603978</v>
      </c>
      <c r="S90" s="12"/>
      <c r="T90" s="12"/>
      <c r="U90" s="116">
        <f>161.1201*Dimensions!$D$22</f>
        <v>175805.5856319965</v>
      </c>
      <c r="V90" s="116">
        <f>366.1821*Dimensions!$D$22</f>
        <v>399558.2086806941</v>
      </c>
      <c r="X90" s="18">
        <f t="shared" si="23"/>
        <v>436813.5409853437</v>
      </c>
      <c r="Z90" s="12">
        <f t="shared" si="24"/>
        <v>705426.9063603978</v>
      </c>
      <c r="AA90" s="12">
        <f t="shared" si="25"/>
        <v>399558.2086806941</v>
      </c>
      <c r="AC90" s="12">
        <f>IF(Dimensions!$D$52="y",Dimensions!$D$53,J90+M90+N90+X90+Z90+AA90)</f>
        <v>3247195.476651661</v>
      </c>
      <c r="AD90" s="12">
        <f t="shared" si="29"/>
        <v>256471858.0238225</v>
      </c>
      <c r="AE90" s="12"/>
      <c r="AF90" s="9">
        <f t="shared" si="20"/>
        <v>0.329567188568396</v>
      </c>
      <c r="AH90" s="18">
        <f>Dimensions!$D$49</f>
        <v>269000000</v>
      </c>
      <c r="AI90" s="18">
        <f>Dimensions!$D$50*AJ90</f>
        <v>4225263157.894737</v>
      </c>
      <c r="AJ90" s="17">
        <f t="shared" si="32"/>
        <v>11.736842105263158</v>
      </c>
      <c r="AK90" s="12">
        <f>IF(Dimensions!$D$63="y",Dimensions!$D$64,AH90+AI90)</f>
        <v>0</v>
      </c>
      <c r="AM90" s="105">
        <f>IF(Dimensions!$D$57="y",Dimensions!$D$58,Dimensions!$D$59-((Dimensions!$D$59-Dimensions!$D$60)/109)*(A90-1))</f>
        <v>101.39174311926605</v>
      </c>
      <c r="AN90" s="12">
        <f>LOOKUP(AM90,'Crush Energy'!$A$10:$A$509,'Crush Energy'!$G$10:$G$509)</f>
        <v>3708.5918809156406</v>
      </c>
      <c r="AO90" s="12">
        <f>IF(Dimensions!$D$57="y",Dimensions!$D$61,AN90*M90)</f>
        <v>1614901350.1972277</v>
      </c>
      <c r="AP90" s="12">
        <f t="shared" si="30"/>
        <v>96032031314.48305</v>
      </c>
    </row>
    <row r="91" spans="1:42" ht="10.5">
      <c r="A91" s="5">
        <f t="shared" si="26"/>
        <v>84</v>
      </c>
      <c r="B91" s="5">
        <f t="shared" si="27"/>
        <v>33</v>
      </c>
      <c r="C91" s="5">
        <f t="shared" si="21"/>
        <v>27</v>
      </c>
      <c r="E91" s="5">
        <v>1</v>
      </c>
      <c r="F91" s="5">
        <v>1</v>
      </c>
      <c r="H91" s="9">
        <f t="shared" si="33"/>
        <v>85.5</v>
      </c>
      <c r="I91" s="98">
        <f t="shared" si="22"/>
        <v>1.391304347826087</v>
      </c>
      <c r="J91" s="12">
        <f>Dimensions!$D$40*I91</f>
        <v>1082104.0551688157</v>
      </c>
      <c r="K91" s="12">
        <f t="shared" si="28"/>
        <v>49291431.04243244</v>
      </c>
      <c r="M91" s="12">
        <f>LOOKUP(C91,'Concrete Mass'!$B$8:$B$123,'Concrete Mass'!$H$8:$H$123)</f>
        <v>435448.656</v>
      </c>
      <c r="N91" s="12">
        <f>LOOKUP(C91,'Concrete Mass'!$B$8:$B$123,'Concrete Mass'!$O$8:$O$123)</f>
        <v>199779.08065312495</v>
      </c>
      <c r="O91" s="12"/>
      <c r="P91" s="116">
        <f>3.5*Dimensions!$C$105*Dimensions!$D$23</f>
        <v>49379.88344522785</v>
      </c>
      <c r="Q91" s="116">
        <f>15*Dimensions!$C$105*Dimensions!$D$23</f>
        <v>211628.07190811934</v>
      </c>
      <c r="R91" s="116">
        <f>50*Dimensions!$C$105*Dimensions!$D$23</f>
        <v>705426.9063603978</v>
      </c>
      <c r="S91" s="12"/>
      <c r="T91" s="12"/>
      <c r="U91" s="116">
        <f>161.1201*Dimensions!$D$22</f>
        <v>175805.5856319965</v>
      </c>
      <c r="V91" s="116">
        <f>366.1821*Dimensions!$D$22</f>
        <v>399558.2086806941</v>
      </c>
      <c r="X91" s="18">
        <f t="shared" si="23"/>
        <v>436813.5409853437</v>
      </c>
      <c r="Z91" s="12">
        <f t="shared" si="24"/>
        <v>705426.9063603978</v>
      </c>
      <c r="AA91" s="12">
        <f t="shared" si="25"/>
        <v>399558.2086806941</v>
      </c>
      <c r="AC91" s="12">
        <f>IF(Dimensions!$D$52="y",Dimensions!$D$53,J91+M91+N91+X91+Z91+AA91)</f>
        <v>3259130.447848376</v>
      </c>
      <c r="AD91" s="12">
        <f t="shared" si="29"/>
        <v>259730988.47167087</v>
      </c>
      <c r="AE91" s="12"/>
      <c r="AF91" s="9">
        <f t="shared" si="20"/>
        <v>0.33202232082585187</v>
      </c>
      <c r="AH91" s="18">
        <f>Dimensions!$D$49</f>
        <v>269000000</v>
      </c>
      <c r="AI91" s="18">
        <f>Dimensions!$D$50*AJ91</f>
        <v>4282105263.157894</v>
      </c>
      <c r="AJ91" s="17">
        <f t="shared" si="32"/>
        <v>11.894736842105262</v>
      </c>
      <c r="AK91" s="12">
        <f>IF(Dimensions!$D$63="y",Dimensions!$D$64,AH91+AI91)</f>
        <v>0</v>
      </c>
      <c r="AM91" s="105">
        <f>IF(Dimensions!$D$57="y",Dimensions!$D$58,Dimensions!$D$59-((Dimensions!$D$59-Dimensions!$D$60)/109)*(A91-1))</f>
        <v>99.85871559633028</v>
      </c>
      <c r="AN91" s="12">
        <f>LOOKUP(AM91,'Crush Energy'!$A$10:$A$509,'Crush Energy'!$G$10:$G$509)</f>
        <v>3783.5129290149453</v>
      </c>
      <c r="AO91" s="12">
        <f>IF(Dimensions!$D$57="y",Dimensions!$D$61,AN91*M91)</f>
        <v>1647525619.8981814</v>
      </c>
      <c r="AP91" s="12">
        <f t="shared" si="30"/>
        <v>97679556934.38123</v>
      </c>
    </row>
    <row r="92" spans="1:42" ht="10.5">
      <c r="A92" s="5">
        <f t="shared" si="26"/>
        <v>85</v>
      </c>
      <c r="B92" s="5">
        <f t="shared" si="27"/>
        <v>32</v>
      </c>
      <c r="C92" s="5">
        <f t="shared" si="21"/>
        <v>26</v>
      </c>
      <c r="E92" s="5">
        <v>1</v>
      </c>
      <c r="F92" s="5">
        <v>1</v>
      </c>
      <c r="H92" s="9">
        <f t="shared" si="33"/>
        <v>85.5</v>
      </c>
      <c r="I92" s="98">
        <f t="shared" si="22"/>
        <v>1.4066496163682864</v>
      </c>
      <c r="J92" s="12">
        <f>Dimensions!$D$40*I92</f>
        <v>1094039.0263655304</v>
      </c>
      <c r="K92" s="12">
        <f t="shared" si="28"/>
        <v>50385470.068797976</v>
      </c>
      <c r="M92" s="12">
        <f>LOOKUP(C92,'Concrete Mass'!$B$8:$B$123,'Concrete Mass'!$H$8:$H$123)</f>
        <v>435448.656</v>
      </c>
      <c r="N92" s="12">
        <f>LOOKUP(C92,'Concrete Mass'!$B$8:$B$123,'Concrete Mass'!$O$8:$O$123)</f>
        <v>199779.08065312495</v>
      </c>
      <c r="O92" s="12"/>
      <c r="P92" s="116">
        <f>3.5*Dimensions!$C$105*Dimensions!$D$23</f>
        <v>49379.88344522785</v>
      </c>
      <c r="Q92" s="116">
        <f>15*Dimensions!$C$105*Dimensions!$D$23</f>
        <v>211628.07190811934</v>
      </c>
      <c r="R92" s="116">
        <f>50*Dimensions!$C$105*Dimensions!$D$23</f>
        <v>705426.9063603978</v>
      </c>
      <c r="S92" s="12"/>
      <c r="T92" s="12"/>
      <c r="U92" s="116">
        <f>161.1201*Dimensions!$D$22</f>
        <v>175805.5856319965</v>
      </c>
      <c r="V92" s="116">
        <f>366.1821*Dimensions!$D$22</f>
        <v>399558.2086806941</v>
      </c>
      <c r="X92" s="18">
        <f t="shared" si="23"/>
        <v>436813.5409853437</v>
      </c>
      <c r="Z92" s="12">
        <f t="shared" si="24"/>
        <v>705426.9063603978</v>
      </c>
      <c r="AA92" s="12">
        <f t="shared" si="25"/>
        <v>399558.2086806941</v>
      </c>
      <c r="AC92" s="12">
        <f>IF(Dimensions!$D$52="y",Dimensions!$D$53,J92+M92+N92+X92+Z92+AA92)</f>
        <v>3271065.4190450907</v>
      </c>
      <c r="AD92" s="12">
        <f t="shared" si="29"/>
        <v>263002053.89071596</v>
      </c>
      <c r="AE92" s="12"/>
      <c r="AF92" s="9">
        <f t="shared" si="20"/>
        <v>0.33445953724915384</v>
      </c>
      <c r="AH92" s="18">
        <f>Dimensions!$D$49</f>
        <v>269000000</v>
      </c>
      <c r="AI92" s="18">
        <f>Dimensions!$D$50*AJ92</f>
        <v>4338947368.421053</v>
      </c>
      <c r="AJ92" s="17">
        <f t="shared" si="32"/>
        <v>12.052631578947368</v>
      </c>
      <c r="AK92" s="12">
        <f>IF(Dimensions!$D$63="y",Dimensions!$D$64,AH92+AI92)</f>
        <v>0</v>
      </c>
      <c r="AM92" s="105">
        <f>IF(Dimensions!$D$57="y",Dimensions!$D$58,Dimensions!$D$59-((Dimensions!$D$59-Dimensions!$D$60)/109)*(A92-1))</f>
        <v>98.3256880733945</v>
      </c>
      <c r="AN92" s="12">
        <f>LOOKUP(AM92,'Crush Energy'!$A$10:$A$509,'Crush Energy'!$G$10:$G$509)</f>
        <v>3822.1202038008137</v>
      </c>
      <c r="AO92" s="12">
        <f>IF(Dimensions!$D$57="y",Dimensions!$D$61,AN92*M92)</f>
        <v>1664337105.8155105</v>
      </c>
      <c r="AP92" s="12">
        <f t="shared" si="30"/>
        <v>99343894040.19673</v>
      </c>
    </row>
    <row r="93" spans="1:42" ht="10.5">
      <c r="A93" s="5">
        <f t="shared" si="26"/>
        <v>86</v>
      </c>
      <c r="B93" s="5">
        <f t="shared" si="27"/>
        <v>31</v>
      </c>
      <c r="C93" s="5">
        <f t="shared" si="21"/>
        <v>25</v>
      </c>
      <c r="E93" s="5">
        <v>2</v>
      </c>
      <c r="F93" s="5">
        <v>2</v>
      </c>
      <c r="H93" s="9">
        <f t="shared" si="33"/>
        <v>85.5</v>
      </c>
      <c r="I93" s="98">
        <f t="shared" si="22"/>
        <v>1.421994884910486</v>
      </c>
      <c r="J93" s="12">
        <f>Dimensions!$D$40*I93</f>
        <v>1105973.9975622455</v>
      </c>
      <c r="K93" s="12">
        <f t="shared" si="28"/>
        <v>51491444.06636022</v>
      </c>
      <c r="M93" s="12">
        <f>LOOKUP(C93,'Concrete Mass'!$B$8:$B$123,'Concrete Mass'!$H$8:$H$123)</f>
        <v>435448.656</v>
      </c>
      <c r="N93" s="12">
        <f>LOOKUP(C93,'Concrete Mass'!$B$8:$B$123,'Concrete Mass'!$O$8:$O$123)</f>
        <v>199779.08065312495</v>
      </c>
      <c r="O93" s="12"/>
      <c r="P93" s="118">
        <f>17.0885*Dimensions!$D$23</f>
        <v>49379.88922454016</v>
      </c>
      <c r="Q93" s="118">
        <f>73.2364*Dimensions!$D$23</f>
        <v>211628.01411499624</v>
      </c>
      <c r="R93" s="118">
        <f>244.1214*Dimensions!$D$23</f>
        <v>705426.9063603978</v>
      </c>
      <c r="S93" s="12"/>
      <c r="T93" s="12"/>
      <c r="U93" s="118">
        <f>161.1201*Dimensions!$D$22</f>
        <v>175805.5856319965</v>
      </c>
      <c r="V93" s="118">
        <f>366.1821*Dimensions!$D$22</f>
        <v>399558.2086806941</v>
      </c>
      <c r="X93" s="18">
        <f t="shared" si="23"/>
        <v>436813.4889715329</v>
      </c>
      <c r="Z93" s="12">
        <f t="shared" si="24"/>
        <v>705426.9063603978</v>
      </c>
      <c r="AA93" s="12">
        <f t="shared" si="25"/>
        <v>399558.2086806941</v>
      </c>
      <c r="AC93" s="12">
        <f>IF(Dimensions!$D$52="y",Dimensions!$D$53,J93+M93+N93+X93+Z93+AA93)</f>
        <v>3283000.3382279947</v>
      </c>
      <c r="AD93" s="12">
        <f t="shared" si="29"/>
        <v>266285054.22894394</v>
      </c>
      <c r="AE93" s="12"/>
      <c r="AF93" s="9">
        <f t="shared" si="20"/>
        <v>0.3368790385684812</v>
      </c>
      <c r="AH93" s="18">
        <f>Dimensions!$D$49</f>
        <v>269000000</v>
      </c>
      <c r="AI93" s="18">
        <f>Dimensions!$D$50*AJ93</f>
        <v>4395789473.68421</v>
      </c>
      <c r="AJ93" s="17">
        <f t="shared" si="32"/>
        <v>12.210526315789473</v>
      </c>
      <c r="AK93" s="12">
        <f>IF(Dimensions!$D$63="y",Dimensions!$D$64,AH93+AI93)</f>
        <v>0</v>
      </c>
      <c r="AM93" s="105">
        <f>IF(Dimensions!$D$57="y",Dimensions!$D$58,Dimensions!$D$59-((Dimensions!$D$59-Dimensions!$D$60)/109)*(A93-1))</f>
        <v>96.79266055045872</v>
      </c>
      <c r="AN93" s="12">
        <f>LOOKUP(AM93,'Crush Energy'!$A$10:$A$509,'Crush Energy'!$G$10:$G$509)</f>
        <v>3901.7477080466633</v>
      </c>
      <c r="AO93" s="12">
        <f>IF(Dimensions!$D$57="y",Dimensions!$D$61,AN93*M93)</f>
        <v>1699010795.52</v>
      </c>
      <c r="AP93" s="12">
        <f t="shared" si="30"/>
        <v>101042904835.71674</v>
      </c>
    </row>
    <row r="94" spans="1:42" ht="10.5">
      <c r="A94" s="5">
        <f t="shared" si="26"/>
        <v>87</v>
      </c>
      <c r="B94" s="5">
        <f t="shared" si="27"/>
        <v>30</v>
      </c>
      <c r="C94" s="5">
        <f t="shared" si="21"/>
        <v>24</v>
      </c>
      <c r="E94" s="5">
        <v>1</v>
      </c>
      <c r="F94" s="5">
        <v>1</v>
      </c>
      <c r="H94" s="9">
        <f t="shared" si="33"/>
        <v>85.5</v>
      </c>
      <c r="I94" s="98">
        <f t="shared" si="22"/>
        <v>1.4373401534526855</v>
      </c>
      <c r="J94" s="12">
        <f>Dimensions!$D$40*I94</f>
        <v>1117908.9687589603</v>
      </c>
      <c r="K94" s="12">
        <f t="shared" si="28"/>
        <v>52609353.03511918</v>
      </c>
      <c r="M94" s="12">
        <f>LOOKUP(C94,'Concrete Mass'!$B$8:$B$123,'Concrete Mass'!$H$8:$H$123)</f>
        <v>435448.656</v>
      </c>
      <c r="N94" s="12">
        <f>LOOKUP(C94,'Concrete Mass'!$B$8:$B$123,'Concrete Mass'!$O$8:$O$123)</f>
        <v>199779.08065312495</v>
      </c>
      <c r="O94" s="12"/>
      <c r="P94" s="116">
        <f>3.5*Dimensions!$C$105*Dimensions!$D$23</f>
        <v>49379.88344522785</v>
      </c>
      <c r="Q94" s="116">
        <f>15*Dimensions!$C$105*Dimensions!$D$23</f>
        <v>211628.07190811934</v>
      </c>
      <c r="R94" s="116">
        <f>50*Dimensions!$C$105*Dimensions!$D$23</f>
        <v>705426.9063603978</v>
      </c>
      <c r="S94" s="12"/>
      <c r="T94" s="12"/>
      <c r="U94" s="116">
        <f>161.1201*Dimensions!$D$22</f>
        <v>175805.5856319965</v>
      </c>
      <c r="V94" s="116">
        <f>366.1821*Dimensions!$D$22</f>
        <v>399558.2086806941</v>
      </c>
      <c r="X94" s="18">
        <f t="shared" si="23"/>
        <v>436813.5409853437</v>
      </c>
      <c r="Z94" s="12">
        <f t="shared" si="24"/>
        <v>705426.9063603978</v>
      </c>
      <c r="AA94" s="12">
        <f t="shared" si="25"/>
        <v>399558.2086806941</v>
      </c>
      <c r="AC94" s="12">
        <f>IF(Dimensions!$D$52="y",Dimensions!$D$53,J94+M94+N94+X94+Z94+AA94)</f>
        <v>3294935.3614385203</v>
      </c>
      <c r="AD94" s="12">
        <f t="shared" si="29"/>
        <v>269579989.59038246</v>
      </c>
      <c r="AE94" s="12"/>
      <c r="AF94" s="9">
        <f t="shared" si="20"/>
        <v>0.3392810013337857</v>
      </c>
      <c r="AH94" s="18">
        <f>Dimensions!$D$49</f>
        <v>269000000</v>
      </c>
      <c r="AI94" s="18">
        <f>Dimensions!$D$50*AJ94</f>
        <v>4452631578.947369</v>
      </c>
      <c r="AJ94" s="17">
        <f t="shared" si="32"/>
        <v>12.368421052631579</v>
      </c>
      <c r="AK94" s="12">
        <f>IF(Dimensions!$D$63="y",Dimensions!$D$64,AH94+AI94)</f>
        <v>0</v>
      </c>
      <c r="AM94" s="105">
        <f>IF(Dimensions!$D$57="y",Dimensions!$D$58,Dimensions!$D$59-((Dimensions!$D$59-Dimensions!$D$60)/109)*(A94-1))</f>
        <v>95.25963302752294</v>
      </c>
      <c r="AN94" s="12">
        <f>LOOKUP(AM94,'Crush Energy'!$A$10:$A$509,'Crush Energy'!$G$10:$G$509)</f>
        <v>3942.818736552418</v>
      </c>
      <c r="AO94" s="12">
        <f>IF(Dimensions!$D$57="y",Dimensions!$D$61,AN94*M94)</f>
        <v>1716895119.6833687</v>
      </c>
      <c r="AP94" s="12">
        <f t="shared" si="30"/>
        <v>102759799955.4001</v>
      </c>
    </row>
    <row r="95" spans="1:42" ht="10.5">
      <c r="A95" s="5">
        <f t="shared" si="26"/>
        <v>88</v>
      </c>
      <c r="B95" s="5">
        <f t="shared" si="27"/>
        <v>29</v>
      </c>
      <c r="C95" s="5">
        <f t="shared" si="21"/>
        <v>23</v>
      </c>
      <c r="E95" s="5">
        <v>1</v>
      </c>
      <c r="F95" s="5">
        <v>1</v>
      </c>
      <c r="H95" s="9">
        <f t="shared" si="33"/>
        <v>85.5</v>
      </c>
      <c r="I95" s="98">
        <f t="shared" si="22"/>
        <v>1.4526854219948848</v>
      </c>
      <c r="J95" s="12">
        <f>Dimensions!$D$40*I95</f>
        <v>1129843.939955675</v>
      </c>
      <c r="K95" s="12">
        <f t="shared" si="28"/>
        <v>53739196.97507486</v>
      </c>
      <c r="M95" s="12">
        <f>LOOKUP(C95,'Concrete Mass'!$B$8:$B$123,'Concrete Mass'!$H$8:$H$123)</f>
        <v>435448.656</v>
      </c>
      <c r="N95" s="12">
        <f>LOOKUP(C95,'Concrete Mass'!$B$8:$B$123,'Concrete Mass'!$O$8:$O$123)</f>
        <v>199779.08065312495</v>
      </c>
      <c r="O95" s="12"/>
      <c r="P95" s="116">
        <f>3.5*Dimensions!$C$105*Dimensions!$D$23</f>
        <v>49379.88344522785</v>
      </c>
      <c r="Q95" s="116">
        <f>15*Dimensions!$C$105*Dimensions!$D$23</f>
        <v>211628.07190811934</v>
      </c>
      <c r="R95" s="116">
        <f>50*Dimensions!$C$105*Dimensions!$D$23</f>
        <v>705426.9063603978</v>
      </c>
      <c r="S95" s="12"/>
      <c r="T95" s="12"/>
      <c r="U95" s="116">
        <f>161.1201*Dimensions!$D$22</f>
        <v>175805.5856319965</v>
      </c>
      <c r="V95" s="116">
        <f>366.1821*Dimensions!$D$22</f>
        <v>399558.2086806941</v>
      </c>
      <c r="X95" s="18">
        <f t="shared" si="23"/>
        <v>436813.5409853437</v>
      </c>
      <c r="Z95" s="12">
        <f t="shared" si="24"/>
        <v>705426.9063603978</v>
      </c>
      <c r="AA95" s="12">
        <f t="shared" si="25"/>
        <v>399558.2086806941</v>
      </c>
      <c r="AC95" s="12">
        <f>IF(Dimensions!$D$52="y",Dimensions!$D$53,J95+M95+N95+X95+Z95+AA95)</f>
        <v>3306870.332635235</v>
      </c>
      <c r="AD95" s="12">
        <f t="shared" si="29"/>
        <v>272886859.9230177</v>
      </c>
      <c r="AE95" s="12"/>
      <c r="AF95" s="9">
        <f t="shared" si="20"/>
        <v>0.3416656313388937</v>
      </c>
      <c r="AH95" s="18">
        <f>Dimensions!$D$49</f>
        <v>269000000</v>
      </c>
      <c r="AI95" s="18">
        <f>Dimensions!$D$50*AJ95</f>
        <v>4509473684.2105255</v>
      </c>
      <c r="AJ95" s="17">
        <f t="shared" si="32"/>
        <v>12.526315789473683</v>
      </c>
      <c r="AK95" s="12">
        <f>IF(Dimensions!$D$63="y",Dimensions!$D$64,AH95+AI95)</f>
        <v>0</v>
      </c>
      <c r="AM95" s="105">
        <f>IF(Dimensions!$D$57="y",Dimensions!$D$58,Dimensions!$D$59-((Dimensions!$D$59-Dimensions!$D$60)/109)*(A95-1))</f>
        <v>93.72660550458716</v>
      </c>
      <c r="AN95" s="12">
        <f>LOOKUP(AM95,'Crush Energy'!$A$10:$A$509,'Crush Energy'!$G$10:$G$509)</f>
        <v>4027.610537338492</v>
      </c>
      <c r="AO95" s="12">
        <f>IF(Dimensions!$D$57="y",Dimensions!$D$61,AN95*M95)</f>
        <v>1753817595.3754842</v>
      </c>
      <c r="AP95" s="12">
        <f t="shared" si="30"/>
        <v>104513617550.77559</v>
      </c>
    </row>
    <row r="96" spans="1:42" ht="10.5">
      <c r="A96" s="5">
        <f t="shared" si="26"/>
        <v>89</v>
      </c>
      <c r="B96" s="5">
        <f t="shared" si="27"/>
        <v>28</v>
      </c>
      <c r="C96" s="5">
        <f t="shared" si="21"/>
        <v>22</v>
      </c>
      <c r="E96" s="5">
        <v>1</v>
      </c>
      <c r="F96" s="5">
        <v>1</v>
      </c>
      <c r="H96" s="9">
        <f t="shared" si="33"/>
        <v>85.5</v>
      </c>
      <c r="I96" s="98">
        <f t="shared" si="22"/>
        <v>1.4680306905370843</v>
      </c>
      <c r="J96" s="12">
        <f>Dimensions!$D$40*I96</f>
        <v>1141778.91115239</v>
      </c>
      <c r="K96" s="12">
        <f t="shared" si="28"/>
        <v>54880975.88622725</v>
      </c>
      <c r="M96" s="12">
        <f>LOOKUP(C96,'Concrete Mass'!$B$8:$B$123,'Concrete Mass'!$H$8:$H$123)</f>
        <v>435448.656</v>
      </c>
      <c r="N96" s="12">
        <f>LOOKUP(C96,'Concrete Mass'!$B$8:$B$123,'Concrete Mass'!$O$8:$O$123)</f>
        <v>199779.08065312495</v>
      </c>
      <c r="O96" s="12"/>
      <c r="P96" s="116">
        <f>3.5*Dimensions!$C$105*Dimensions!$D$23</f>
        <v>49379.88344522785</v>
      </c>
      <c r="Q96" s="116">
        <f>15*Dimensions!$C$105*Dimensions!$D$23</f>
        <v>211628.07190811934</v>
      </c>
      <c r="R96" s="116">
        <f>50*Dimensions!$C$105*Dimensions!$D$23</f>
        <v>705426.9063603978</v>
      </c>
      <c r="S96" s="12"/>
      <c r="T96" s="12"/>
      <c r="U96" s="116">
        <f>161.1201*Dimensions!$D$22</f>
        <v>175805.5856319965</v>
      </c>
      <c r="V96" s="116">
        <f>366.1821*Dimensions!$D$22</f>
        <v>399558.2086806941</v>
      </c>
      <c r="X96" s="18">
        <f t="shared" si="23"/>
        <v>436813.5409853437</v>
      </c>
      <c r="Z96" s="12">
        <f t="shared" si="24"/>
        <v>705426.9063603978</v>
      </c>
      <c r="AA96" s="12">
        <f t="shared" si="25"/>
        <v>399558.2086806941</v>
      </c>
      <c r="AC96" s="12">
        <f>IF(Dimensions!$D$52="y",Dimensions!$D$53,J96+M96+N96+X96+Z96+AA96)</f>
        <v>3318805.3038319508</v>
      </c>
      <c r="AD96" s="12">
        <f t="shared" si="29"/>
        <v>276205665.2268496</v>
      </c>
      <c r="AE96" s="12"/>
      <c r="AF96" s="9">
        <f t="shared" si="20"/>
        <v>0.3440331102984776</v>
      </c>
      <c r="AH96" s="18">
        <f>Dimensions!$D$49</f>
        <v>269000000</v>
      </c>
      <c r="AI96" s="18">
        <f>Dimensions!$D$50*AJ96</f>
        <v>4566315789.473684</v>
      </c>
      <c r="AJ96" s="17">
        <f t="shared" si="32"/>
        <v>12.68421052631579</v>
      </c>
      <c r="AK96" s="12">
        <f>IF(Dimensions!$D$63="y",Dimensions!$D$64,AH96+AI96)</f>
        <v>0</v>
      </c>
      <c r="AM96" s="105">
        <f>IF(Dimensions!$D$57="y",Dimensions!$D$58,Dimensions!$D$59-((Dimensions!$D$59-Dimensions!$D$60)/109)*(A96-1))</f>
        <v>92.19357798165137</v>
      </c>
      <c r="AN96" s="12">
        <f>LOOKUP(AM96,'Crush Energy'!$A$10:$A$509,'Crush Energy'!$G$10:$G$509)</f>
        <v>4071.3889127443445</v>
      </c>
      <c r="AO96" s="12">
        <f>IF(Dimensions!$D$57="y",Dimensions!$D$61,AN96*M96)</f>
        <v>1772880830.1078262</v>
      </c>
      <c r="AP96" s="12">
        <f t="shared" si="30"/>
        <v>106286498380.88342</v>
      </c>
    </row>
    <row r="97" spans="1:42" ht="10.5">
      <c r="A97" s="5">
        <f t="shared" si="26"/>
        <v>90</v>
      </c>
      <c r="B97" s="5">
        <f t="shared" si="27"/>
        <v>27</v>
      </c>
      <c r="C97" s="5">
        <f t="shared" si="21"/>
        <v>21</v>
      </c>
      <c r="E97" s="5">
        <v>1</v>
      </c>
      <c r="F97" s="5">
        <v>1</v>
      </c>
      <c r="H97" s="9">
        <f t="shared" si="33"/>
        <v>85.5</v>
      </c>
      <c r="I97" s="98">
        <f t="shared" si="22"/>
        <v>1.4833759590792839</v>
      </c>
      <c r="J97" s="12">
        <f>Dimensions!$D$40*I97</f>
        <v>1153713.8823491049</v>
      </c>
      <c r="K97" s="12">
        <f t="shared" si="28"/>
        <v>56034689.768576354</v>
      </c>
      <c r="M97" s="12">
        <f>LOOKUP(C97,'Concrete Mass'!$B$8:$B$123,'Concrete Mass'!$H$8:$H$123)</f>
        <v>435448.656</v>
      </c>
      <c r="N97" s="12">
        <f>LOOKUP(C97,'Concrete Mass'!$B$8:$B$123,'Concrete Mass'!$O$8:$O$123)</f>
        <v>199779.08065312495</v>
      </c>
      <c r="O97" s="12"/>
      <c r="P97" s="116">
        <f>3.5*Dimensions!$C$105*Dimensions!$D$23</f>
        <v>49379.88344522785</v>
      </c>
      <c r="Q97" s="116">
        <f>15*Dimensions!$C$105*Dimensions!$D$23</f>
        <v>211628.07190811934</v>
      </c>
      <c r="R97" s="116">
        <f>50*Dimensions!$C$105*Dimensions!$D$23</f>
        <v>705426.9063603978</v>
      </c>
      <c r="S97" s="12"/>
      <c r="T97" s="12"/>
      <c r="U97" s="116">
        <f>161.1201*Dimensions!$D$22</f>
        <v>175805.5856319965</v>
      </c>
      <c r="V97" s="116">
        <f>366.1821*Dimensions!$D$22</f>
        <v>399558.2086806941</v>
      </c>
      <c r="X97" s="18">
        <f t="shared" si="23"/>
        <v>436813.5409853437</v>
      </c>
      <c r="Z97" s="12">
        <f t="shared" si="24"/>
        <v>705426.9063603978</v>
      </c>
      <c r="AA97" s="12">
        <f t="shared" si="25"/>
        <v>399558.2086806941</v>
      </c>
      <c r="AC97" s="12">
        <f>IF(Dimensions!$D$52="y",Dimensions!$D$53,J97+M97+N97+X97+Z97+AA97)</f>
        <v>3330740.2750286656</v>
      </c>
      <c r="AD97" s="12">
        <f t="shared" si="29"/>
        <v>279536405.50187826</v>
      </c>
      <c r="AE97" s="12"/>
      <c r="AF97" s="9">
        <f t="shared" si="20"/>
        <v>0.34638362258347377</v>
      </c>
      <c r="AH97" s="18">
        <f>Dimensions!$D$49</f>
        <v>269000000</v>
      </c>
      <c r="AI97" s="18">
        <f>Dimensions!$D$50*AJ97</f>
        <v>4623157894.736842</v>
      </c>
      <c r="AJ97" s="17">
        <f t="shared" si="32"/>
        <v>12.842105263157894</v>
      </c>
      <c r="AK97" s="12">
        <f>IF(Dimensions!$D$63="y",Dimensions!$D$64,AH97+AI97)</f>
        <v>0</v>
      </c>
      <c r="AM97" s="105">
        <f>IF(Dimensions!$D$57="y",Dimensions!$D$58,Dimensions!$D$59-((Dimensions!$D$59-Dimensions!$D$60)/109)*(A97-1))</f>
        <v>90.66055045871559</v>
      </c>
      <c r="AN97" s="12">
        <f>LOOKUP(AM97,'Crush Energy'!$A$10:$A$509,'Crush Energy'!$G$10:$G$509)</f>
        <v>4161.864221916441</v>
      </c>
      <c r="AO97" s="12">
        <f>IF(Dimensions!$D$57="y",Dimensions!$D$61,AN97*M97)</f>
        <v>1812278181.8880002</v>
      </c>
      <c r="AP97" s="12">
        <f t="shared" si="30"/>
        <v>108098776562.77142</v>
      </c>
    </row>
    <row r="98" spans="1:42" ht="10.5">
      <c r="A98" s="5">
        <f t="shared" si="26"/>
        <v>91</v>
      </c>
      <c r="B98" s="5">
        <f t="shared" si="27"/>
        <v>26</v>
      </c>
      <c r="C98" s="5">
        <f t="shared" si="21"/>
        <v>20</v>
      </c>
      <c r="E98" s="5">
        <v>1</v>
      </c>
      <c r="F98" s="5">
        <v>1</v>
      </c>
      <c r="H98" s="9">
        <f>$H$8+(($H$117-$H$8)/12)*10</f>
        <v>90.33333333333333</v>
      </c>
      <c r="I98" s="98">
        <f t="shared" si="22"/>
        <v>1.4987212276214834</v>
      </c>
      <c r="J98" s="12">
        <f>Dimensions!$D$40*I98</f>
        <v>1165648.8535458199</v>
      </c>
      <c r="K98" s="12">
        <f t="shared" si="28"/>
        <v>57200338.622122176</v>
      </c>
      <c r="M98" s="12">
        <f>LOOKUP(C98,'Concrete Mass'!$B$8:$B$123,'Concrete Mass'!$H$8:$H$123)</f>
        <v>435448.656</v>
      </c>
      <c r="N98" s="12">
        <f>LOOKUP(C98,'Concrete Mass'!$B$8:$B$123,'Concrete Mass'!$O$8:$O$123)</f>
        <v>199779.08065312495</v>
      </c>
      <c r="O98" s="12"/>
      <c r="P98" s="116">
        <f>3.5*Dimensions!$C$105*Dimensions!$D$23</f>
        <v>49379.88344522785</v>
      </c>
      <c r="Q98" s="116">
        <f>15*Dimensions!$C$105*Dimensions!$D$23</f>
        <v>211628.07190811934</v>
      </c>
      <c r="R98" s="116">
        <f>50*Dimensions!$C$105*Dimensions!$D$23</f>
        <v>705426.9063603978</v>
      </c>
      <c r="S98" s="12"/>
      <c r="T98" s="12"/>
      <c r="U98" s="116">
        <f>161.1201*Dimensions!$D$22</f>
        <v>175805.5856319965</v>
      </c>
      <c r="V98" s="116">
        <f>366.1821*Dimensions!$D$22</f>
        <v>399558.2086806941</v>
      </c>
      <c r="X98" s="18">
        <f t="shared" si="23"/>
        <v>436813.5409853437</v>
      </c>
      <c r="Z98" s="12">
        <f t="shared" si="24"/>
        <v>705426.9063603978</v>
      </c>
      <c r="AA98" s="12">
        <f t="shared" si="25"/>
        <v>399558.2086806941</v>
      </c>
      <c r="AC98" s="12">
        <f>IF(Dimensions!$D$52="y",Dimensions!$D$53,J98+M98+N98+X98+Z98+AA98)</f>
        <v>3342675.2462253803</v>
      </c>
      <c r="AD98" s="12">
        <f t="shared" si="29"/>
        <v>282879080.7481036</v>
      </c>
      <c r="AE98" s="12"/>
      <c r="AF98" s="9">
        <f t="shared" si="20"/>
        <v>0.3487173499316439</v>
      </c>
      <c r="AH98" s="18">
        <f>Dimensions!$D$49</f>
        <v>269000000</v>
      </c>
      <c r="AI98" s="18">
        <f>Dimensions!$D$50*AJ98</f>
        <v>4680000000</v>
      </c>
      <c r="AJ98" s="17">
        <f t="shared" si="32"/>
        <v>13</v>
      </c>
      <c r="AK98" s="12">
        <f>IF(Dimensions!$D$63="y",Dimensions!$D$64,AH98+AI98)</f>
        <v>0</v>
      </c>
      <c r="AM98" s="105">
        <f>IF(Dimensions!$D$57="y",Dimensions!$D$58,Dimensions!$D$59-((Dimensions!$D$59-Dimensions!$D$60)/109)*(A98-1))</f>
        <v>89.12752293577981</v>
      </c>
      <c r="AN98" s="12">
        <f>LOOKUP(AM98,'Crush Energy'!$A$10:$A$509,'Crush Energy'!$G$10:$G$509)</f>
        <v>4208.626741263816</v>
      </c>
      <c r="AO98" s="12">
        <f>IF(Dimensions!$D$57="y",Dimensions!$D$61,AN98*M98)</f>
        <v>1832640858.0889885</v>
      </c>
      <c r="AP98" s="12">
        <f t="shared" si="30"/>
        <v>109931417420.86041</v>
      </c>
    </row>
    <row r="99" spans="1:42" ht="10.5">
      <c r="A99" s="5">
        <f t="shared" si="26"/>
        <v>92</v>
      </c>
      <c r="B99" s="5">
        <f t="shared" si="27"/>
        <v>25</v>
      </c>
      <c r="C99" s="5">
        <f t="shared" si="21"/>
        <v>19</v>
      </c>
      <c r="E99" s="5">
        <v>1</v>
      </c>
      <c r="F99" s="5">
        <v>1</v>
      </c>
      <c r="H99" s="9">
        <f aca="true" t="shared" si="34" ref="H99:H106">$H$8+(($H$117-$H$8)/12)*10</f>
        <v>90.33333333333333</v>
      </c>
      <c r="I99" s="98">
        <f t="shared" si="22"/>
        <v>1.514066496163683</v>
      </c>
      <c r="J99" s="12">
        <f>Dimensions!$D$40*I99</f>
        <v>1177583.8247425347</v>
      </c>
      <c r="K99" s="12">
        <f t="shared" si="28"/>
        <v>58377922.44686471</v>
      </c>
      <c r="M99" s="12">
        <f>LOOKUP(C99,'Concrete Mass'!$B$8:$B$123,'Concrete Mass'!$H$8:$H$123)</f>
        <v>435448.656</v>
      </c>
      <c r="N99" s="12">
        <f>LOOKUP(C99,'Concrete Mass'!$B$8:$B$123,'Concrete Mass'!$O$8:$O$123)</f>
        <v>199779.08065312495</v>
      </c>
      <c r="O99" s="12"/>
      <c r="P99" s="116">
        <f>3.5*Dimensions!$C$105*Dimensions!$D$23</f>
        <v>49379.88344522785</v>
      </c>
      <c r="Q99" s="116">
        <f>15*Dimensions!$C$105*Dimensions!$D$23</f>
        <v>211628.07190811934</v>
      </c>
      <c r="R99" s="116">
        <f>50*Dimensions!$C$105*Dimensions!$D$23</f>
        <v>705426.9063603978</v>
      </c>
      <c r="S99" s="12"/>
      <c r="T99" s="12"/>
      <c r="U99" s="116">
        <f>161.1201*Dimensions!$D$22</f>
        <v>175805.5856319965</v>
      </c>
      <c r="V99" s="116">
        <f>366.1821*Dimensions!$D$22</f>
        <v>399558.2086806941</v>
      </c>
      <c r="X99" s="18">
        <f t="shared" si="23"/>
        <v>436813.5409853437</v>
      </c>
      <c r="Z99" s="12">
        <f t="shared" si="24"/>
        <v>705426.9063603978</v>
      </c>
      <c r="AA99" s="12">
        <f t="shared" si="25"/>
        <v>399558.2086806941</v>
      </c>
      <c r="AC99" s="12">
        <f>IF(Dimensions!$D$52="y",Dimensions!$D$53,J99+M99+N99+X99+Z99+AA99)</f>
        <v>3354610.217422095</v>
      </c>
      <c r="AD99" s="12">
        <f t="shared" si="29"/>
        <v>286233690.9655257</v>
      </c>
      <c r="AE99" s="12"/>
      <c r="AF99" s="9">
        <f t="shared" si="20"/>
        <v>0.35103447149441647</v>
      </c>
      <c r="AH99" s="18">
        <f>Dimensions!$D$49</f>
        <v>269000000</v>
      </c>
      <c r="AI99" s="18">
        <f>Dimensions!$D$50*AJ99</f>
        <v>4736842105.263158</v>
      </c>
      <c r="AJ99" s="17">
        <f t="shared" si="32"/>
        <v>13.157894736842104</v>
      </c>
      <c r="AK99" s="12">
        <f>IF(Dimensions!$D$63="y",Dimensions!$D$64,AH99+AI99)</f>
        <v>0</v>
      </c>
      <c r="AM99" s="105">
        <f>IF(Dimensions!$D$57="y",Dimensions!$D$58,Dimensions!$D$59-((Dimensions!$D$59-Dimensions!$D$60)/109)*(A99-1))</f>
        <v>87.59449541284405</v>
      </c>
      <c r="AN99" s="12">
        <f>LOOKUP(AM99,'Crush Energy'!$A$10:$A$509,'Crush Energy'!$G$10:$G$509)</f>
        <v>4305.37678129287</v>
      </c>
      <c r="AO99" s="12">
        <f>IF(Dimensions!$D$57="y",Dimensions!$D$61,AN99*M99)</f>
        <v>1874770532.9875863</v>
      </c>
      <c r="AP99" s="12">
        <f t="shared" si="30"/>
        <v>111806187953.84799</v>
      </c>
    </row>
    <row r="100" spans="1:42" ht="10.5">
      <c r="A100" s="5">
        <f t="shared" si="26"/>
        <v>93</v>
      </c>
      <c r="B100" s="5">
        <f t="shared" si="27"/>
        <v>24</v>
      </c>
      <c r="C100" s="5">
        <f t="shared" si="21"/>
        <v>18</v>
      </c>
      <c r="E100" s="5">
        <v>1</v>
      </c>
      <c r="F100" s="5">
        <v>1</v>
      </c>
      <c r="H100" s="9">
        <f t="shared" si="34"/>
        <v>90.33333333333333</v>
      </c>
      <c r="I100" s="98">
        <f t="shared" si="22"/>
        <v>1.5294117647058822</v>
      </c>
      <c r="J100" s="12">
        <f>Dimensions!$D$40*I100</f>
        <v>1189518.7959392495</v>
      </c>
      <c r="K100" s="12">
        <f t="shared" si="28"/>
        <v>59567441.24280396</v>
      </c>
      <c r="M100" s="12">
        <f>LOOKUP(C100,'Concrete Mass'!$B$8:$B$123,'Concrete Mass'!$H$8:$H$123)</f>
        <v>435448.656</v>
      </c>
      <c r="N100" s="12">
        <f>LOOKUP(C100,'Concrete Mass'!$B$8:$B$123,'Concrete Mass'!$O$8:$O$123)</f>
        <v>199779.08065312495</v>
      </c>
      <c r="O100" s="12"/>
      <c r="P100" s="116">
        <f>3.5*Dimensions!$C$105*Dimensions!$D$23</f>
        <v>49379.88344522785</v>
      </c>
      <c r="Q100" s="116">
        <f>15*Dimensions!$C$105*Dimensions!$D$23</f>
        <v>211628.07190811934</v>
      </c>
      <c r="R100" s="116">
        <f>50*Dimensions!$C$105*Dimensions!$D$23</f>
        <v>705426.9063603978</v>
      </c>
      <c r="S100" s="12"/>
      <c r="T100" s="12"/>
      <c r="U100" s="116">
        <f>161.1201*Dimensions!$D$22</f>
        <v>175805.5856319965</v>
      </c>
      <c r="V100" s="116">
        <f>366.1821*Dimensions!$D$22</f>
        <v>399558.2086806941</v>
      </c>
      <c r="X100" s="18">
        <f t="shared" si="23"/>
        <v>436813.5409853437</v>
      </c>
      <c r="Z100" s="12">
        <f t="shared" si="24"/>
        <v>705426.9063603978</v>
      </c>
      <c r="AA100" s="12">
        <f t="shared" si="25"/>
        <v>399558.2086806941</v>
      </c>
      <c r="AC100" s="12">
        <f>IF(Dimensions!$D$52="y",Dimensions!$D$53,J100+M100+N100+X100+Z100+AA100)</f>
        <v>3366545.18861881</v>
      </c>
      <c r="AD100" s="12">
        <f t="shared" si="29"/>
        <v>289600236.1541445</v>
      </c>
      <c r="AE100" s="12"/>
      <c r="AF100" s="9">
        <f t="shared" si="20"/>
        <v>0.3533351638827318</v>
      </c>
      <c r="AH100" s="18">
        <f>Dimensions!$D$49</f>
        <v>269000000</v>
      </c>
      <c r="AI100" s="18">
        <f>Dimensions!$D$50*AJ100</f>
        <v>4793684210.526316</v>
      </c>
      <c r="AJ100" s="17">
        <f t="shared" si="32"/>
        <v>13.31578947368421</v>
      </c>
      <c r="AK100" s="12">
        <f>IF(Dimensions!$D$63="y",Dimensions!$D$64,AH100+AI100)</f>
        <v>0</v>
      </c>
      <c r="AM100" s="105">
        <f>IF(Dimensions!$D$57="y",Dimensions!$D$58,Dimensions!$D$59-((Dimensions!$D$59-Dimensions!$D$60)/109)*(A100-1))</f>
        <v>86.06146788990827</v>
      </c>
      <c r="AN100" s="12">
        <f>LOOKUP(AM100,'Crush Energy'!$A$10:$A$509,'Crush Energy'!$G$10:$G$509)</f>
        <v>4355.439302005578</v>
      </c>
      <c r="AO100" s="12">
        <f>IF(Dimensions!$D$57="y",Dimensions!$D$61,AN100*M100)</f>
        <v>1896570190.347907</v>
      </c>
      <c r="AP100" s="12">
        <f t="shared" si="30"/>
        <v>113702758144.19589</v>
      </c>
    </row>
    <row r="101" spans="1:42" ht="10.5">
      <c r="A101" s="5">
        <f t="shared" si="26"/>
        <v>94</v>
      </c>
      <c r="B101" s="5">
        <f t="shared" si="27"/>
        <v>23</v>
      </c>
      <c r="C101" s="5">
        <f t="shared" si="21"/>
        <v>17</v>
      </c>
      <c r="E101" s="5">
        <v>1</v>
      </c>
      <c r="F101" s="5">
        <v>1</v>
      </c>
      <c r="H101" s="9">
        <f t="shared" si="34"/>
        <v>90.33333333333333</v>
      </c>
      <c r="I101" s="98">
        <f t="shared" si="22"/>
        <v>1.5447570332480818</v>
      </c>
      <c r="J101" s="12">
        <f>Dimensions!$D$40*I101</f>
        <v>1201453.7671359642</v>
      </c>
      <c r="K101" s="12">
        <f t="shared" si="28"/>
        <v>60768895.009939924</v>
      </c>
      <c r="M101" s="12">
        <f>LOOKUP(C101,'Concrete Mass'!$B$8:$B$123,'Concrete Mass'!$H$8:$H$123)</f>
        <v>435448.656</v>
      </c>
      <c r="N101" s="12">
        <f>LOOKUP(C101,'Concrete Mass'!$B$8:$B$123,'Concrete Mass'!$O$8:$O$123)</f>
        <v>199779.08065312495</v>
      </c>
      <c r="O101" s="12"/>
      <c r="P101" s="116">
        <f>3.5*Dimensions!$C$105*Dimensions!$D$23</f>
        <v>49379.88344522785</v>
      </c>
      <c r="Q101" s="116">
        <f>15*Dimensions!$C$105*Dimensions!$D$23</f>
        <v>211628.07190811934</v>
      </c>
      <c r="R101" s="116">
        <f>50*Dimensions!$C$105*Dimensions!$D$23</f>
        <v>705426.9063603978</v>
      </c>
      <c r="S101" s="12"/>
      <c r="T101" s="12"/>
      <c r="U101" s="116">
        <f>161.1201*Dimensions!$D$22</f>
        <v>175805.5856319965</v>
      </c>
      <c r="V101" s="116">
        <f>366.1821*Dimensions!$D$22</f>
        <v>399558.2086806941</v>
      </c>
      <c r="X101" s="18">
        <f t="shared" si="23"/>
        <v>436813.5409853437</v>
      </c>
      <c r="Z101" s="12">
        <f t="shared" si="24"/>
        <v>705426.9063603978</v>
      </c>
      <c r="AA101" s="12">
        <f t="shared" si="25"/>
        <v>399558.2086806941</v>
      </c>
      <c r="AC101" s="12">
        <f>IF(Dimensions!$D$52="y",Dimensions!$D$53,J101+M101+N101+X101+Z101+AA101)</f>
        <v>3378480.1598155247</v>
      </c>
      <c r="AD101" s="12">
        <f t="shared" si="29"/>
        <v>292978716.3139601</v>
      </c>
      <c r="AE101" s="12"/>
      <c r="AF101" s="9">
        <f t="shared" si="20"/>
        <v>0.35561960121191516</v>
      </c>
      <c r="AH101" s="18">
        <f>Dimensions!$D$49</f>
        <v>269000000</v>
      </c>
      <c r="AI101" s="18">
        <f>Dimensions!$D$50*AJ101</f>
        <v>4850526315.789474</v>
      </c>
      <c r="AJ101" s="17">
        <f t="shared" si="32"/>
        <v>13.473684210526315</v>
      </c>
      <c r="AK101" s="12">
        <f>IF(Dimensions!$D$63="y",Dimensions!$D$64,AH101+AI101)</f>
        <v>0</v>
      </c>
      <c r="AM101" s="105">
        <f>IF(Dimensions!$D$57="y",Dimensions!$D$58,Dimensions!$D$59-((Dimensions!$D$59-Dimensions!$D$60)/109)*(A101-1))</f>
        <v>84.52844036697249</v>
      </c>
      <c r="AN101" s="12">
        <f>LOOKUP(AM101,'Crush Energy'!$A$10:$A$509,'Crush Energy'!$G$10:$G$509)</f>
        <v>4459.140237767617</v>
      </c>
      <c r="AO101" s="12">
        <f>IF(Dimensions!$D$57="y",Dimensions!$D$61,AN101*M101)</f>
        <v>1941726623.4514291</v>
      </c>
      <c r="AP101" s="12">
        <f t="shared" si="30"/>
        <v>115644484767.64732</v>
      </c>
    </row>
    <row r="102" spans="1:42" ht="10.5">
      <c r="A102" s="5">
        <f t="shared" si="26"/>
        <v>95</v>
      </c>
      <c r="B102" s="5">
        <f t="shared" si="27"/>
        <v>22</v>
      </c>
      <c r="C102" s="5">
        <f t="shared" si="21"/>
        <v>16</v>
      </c>
      <c r="E102" s="5">
        <v>1</v>
      </c>
      <c r="F102" s="5">
        <v>1</v>
      </c>
      <c r="H102" s="9">
        <f t="shared" si="34"/>
        <v>90.33333333333333</v>
      </c>
      <c r="I102" s="98">
        <f t="shared" si="22"/>
        <v>1.5601023017902813</v>
      </c>
      <c r="J102" s="12">
        <f>Dimensions!$D$40*I102</f>
        <v>1213388.7383326793</v>
      </c>
      <c r="K102" s="12">
        <f t="shared" si="28"/>
        <v>61982283.748272605</v>
      </c>
      <c r="M102" s="12">
        <f>LOOKUP(C102,'Concrete Mass'!$B$8:$B$123,'Concrete Mass'!$H$8:$H$123)</f>
        <v>435448.656</v>
      </c>
      <c r="N102" s="12">
        <f>LOOKUP(C102,'Concrete Mass'!$B$8:$B$123,'Concrete Mass'!$O$8:$O$123)</f>
        <v>199779.08065312495</v>
      </c>
      <c r="O102" s="12"/>
      <c r="P102" s="116">
        <f>3.5*Dimensions!$C$105*Dimensions!$D$23</f>
        <v>49379.88344522785</v>
      </c>
      <c r="Q102" s="116">
        <f>15*Dimensions!$C$105*Dimensions!$D$23</f>
        <v>211628.07190811934</v>
      </c>
      <c r="R102" s="116">
        <f>50*Dimensions!$C$105*Dimensions!$D$23</f>
        <v>705426.9063603978</v>
      </c>
      <c r="S102" s="12"/>
      <c r="T102" s="12"/>
      <c r="U102" s="116">
        <f>161.1201*Dimensions!$D$22</f>
        <v>175805.5856319965</v>
      </c>
      <c r="V102" s="116">
        <f>366.1821*Dimensions!$D$22</f>
        <v>399558.2086806941</v>
      </c>
      <c r="X102" s="18">
        <f t="shared" si="23"/>
        <v>436813.5409853437</v>
      </c>
      <c r="Z102" s="12">
        <f t="shared" si="24"/>
        <v>705426.9063603978</v>
      </c>
      <c r="AA102" s="12">
        <f t="shared" si="25"/>
        <v>399558.2086806941</v>
      </c>
      <c r="AC102" s="12">
        <f>IF(Dimensions!$D$52="y",Dimensions!$D$53,J102+M102+N102+X102+Z102+AA102)</f>
        <v>3390415.1310122395</v>
      </c>
      <c r="AD102" s="12">
        <f t="shared" si="29"/>
        <v>296369131.44497234</v>
      </c>
      <c r="AE102" s="12"/>
      <c r="AF102" s="9">
        <f t="shared" si="20"/>
        <v>0.3578879551456022</v>
      </c>
      <c r="AH102" s="18">
        <f>Dimensions!$D$49</f>
        <v>269000000</v>
      </c>
      <c r="AI102" s="18">
        <f>Dimensions!$D$50*AJ102</f>
        <v>4907368421.052631</v>
      </c>
      <c r="AJ102" s="17">
        <f t="shared" si="32"/>
        <v>13.631578947368421</v>
      </c>
      <c r="AK102" s="12">
        <f>IF(Dimensions!$D$63="y",Dimensions!$D$64,AH102+AI102)</f>
        <v>0</v>
      </c>
      <c r="AM102" s="105">
        <f>IF(Dimensions!$D$57="y",Dimensions!$D$58,Dimensions!$D$59-((Dimensions!$D$59-Dimensions!$D$60)/109)*(A102-1))</f>
        <v>82.99541284403671</v>
      </c>
      <c r="AN102" s="12">
        <f>LOOKUP(AM102,'Crush Energy'!$A$10:$A$509,'Crush Energy'!$G$10:$G$509)</f>
        <v>4567.899755761948</v>
      </c>
      <c r="AO102" s="12">
        <f>IF(Dimensions!$D$57="y",Dimensions!$D$61,AN102*M102)</f>
        <v>1989085809.3892684</v>
      </c>
      <c r="AP102" s="12">
        <f t="shared" si="30"/>
        <v>117633570577.03659</v>
      </c>
    </row>
    <row r="103" spans="1:42" ht="10.5">
      <c r="A103" s="5">
        <f t="shared" si="26"/>
        <v>96</v>
      </c>
      <c r="B103" s="5">
        <f t="shared" si="27"/>
        <v>21</v>
      </c>
      <c r="C103" s="5">
        <f t="shared" si="21"/>
        <v>15</v>
      </c>
      <c r="E103" s="5">
        <v>1</v>
      </c>
      <c r="F103" s="5">
        <v>1</v>
      </c>
      <c r="H103" s="9">
        <f t="shared" si="34"/>
        <v>90.33333333333333</v>
      </c>
      <c r="I103" s="98">
        <f t="shared" si="22"/>
        <v>1.5754475703324808</v>
      </c>
      <c r="J103" s="12">
        <f>Dimensions!$D$40*I103</f>
        <v>1225323.709529394</v>
      </c>
      <c r="K103" s="12">
        <f t="shared" si="28"/>
        <v>63207607.457802</v>
      </c>
      <c r="M103" s="12">
        <f>LOOKUP(C103,'Concrete Mass'!$B$8:$B$123,'Concrete Mass'!$H$8:$H$123)</f>
        <v>435448.656</v>
      </c>
      <c r="N103" s="12">
        <f>LOOKUP(C103,'Concrete Mass'!$B$8:$B$123,'Concrete Mass'!$O$8:$O$123)</f>
        <v>199779.08065312495</v>
      </c>
      <c r="O103" s="12"/>
      <c r="P103" s="116">
        <f>3.5*Dimensions!$C$105*Dimensions!$D$23</f>
        <v>49379.88344522785</v>
      </c>
      <c r="Q103" s="116">
        <f>15*Dimensions!$C$105*Dimensions!$D$23</f>
        <v>211628.07190811934</v>
      </c>
      <c r="R103" s="116">
        <f>50*Dimensions!$C$105*Dimensions!$D$23</f>
        <v>705426.9063603978</v>
      </c>
      <c r="S103" s="12"/>
      <c r="T103" s="12"/>
      <c r="U103" s="116">
        <f>161.1201*Dimensions!$D$22</f>
        <v>175805.5856319965</v>
      </c>
      <c r="V103" s="116">
        <f>366.1821*Dimensions!$D$22</f>
        <v>399558.2086806941</v>
      </c>
      <c r="X103" s="18">
        <f t="shared" si="23"/>
        <v>436813.5409853437</v>
      </c>
      <c r="Z103" s="12">
        <f t="shared" si="24"/>
        <v>705426.9063603978</v>
      </c>
      <c r="AA103" s="12">
        <f t="shared" si="25"/>
        <v>399558.2086806941</v>
      </c>
      <c r="AC103" s="12">
        <f>IF(Dimensions!$D$52="y",Dimensions!$D$53,J103+M103+N103+X103+Z103+AA103)</f>
        <v>3402350.1022089543</v>
      </c>
      <c r="AD103" s="12">
        <f t="shared" si="29"/>
        <v>299771481.5471813</v>
      </c>
      <c r="AE103" s="12"/>
      <c r="AF103" s="9">
        <f t="shared" si="20"/>
        <v>0.36014039493873967</v>
      </c>
      <c r="AH103" s="18">
        <f>Dimensions!$D$49</f>
        <v>269000000</v>
      </c>
      <c r="AI103" s="18">
        <f>Dimensions!$D$50*AJ103</f>
        <v>4964210526.315789</v>
      </c>
      <c r="AJ103" s="17">
        <f t="shared" si="32"/>
        <v>13.789473684210526</v>
      </c>
      <c r="AK103" s="12">
        <f>IF(Dimensions!$D$63="y",Dimensions!$D$64,AH103+AI103)</f>
        <v>0</v>
      </c>
      <c r="AM103" s="105">
        <f>IF(Dimensions!$D$57="y",Dimensions!$D$58,Dimensions!$D$59-((Dimensions!$D$59-Dimensions!$D$60)/109)*(A103-1))</f>
        <v>81.46238532110092</v>
      </c>
      <c r="AN103" s="12">
        <f>LOOKUP(AM103,'Crush Energy'!$A$10:$A$509,'Crush Energy'!$G$10:$G$509)</f>
        <v>4624.293579907156</v>
      </c>
      <c r="AO103" s="12">
        <f>IF(Dimensions!$D$57="y",Dimensions!$D$61,AN103*M103)</f>
        <v>2013642424.3199997</v>
      </c>
      <c r="AP103" s="12">
        <f t="shared" si="30"/>
        <v>119647213001.3566</v>
      </c>
    </row>
    <row r="104" spans="1:42" ht="10.5">
      <c r="A104" s="5">
        <f t="shared" si="26"/>
        <v>97</v>
      </c>
      <c r="B104" s="5">
        <f t="shared" si="27"/>
        <v>20</v>
      </c>
      <c r="C104" s="5">
        <f t="shared" si="21"/>
        <v>14</v>
      </c>
      <c r="E104" s="5">
        <v>1</v>
      </c>
      <c r="F104" s="5">
        <v>1</v>
      </c>
      <c r="H104" s="9">
        <f t="shared" si="34"/>
        <v>90.33333333333333</v>
      </c>
      <c r="I104" s="98">
        <f t="shared" si="22"/>
        <v>1.5907928388746804</v>
      </c>
      <c r="J104" s="12">
        <f>Dimensions!$D$40*I104</f>
        <v>1237258.680726109</v>
      </c>
      <c r="K104" s="12">
        <f t="shared" si="28"/>
        <v>64444866.13852811</v>
      </c>
      <c r="M104" s="12">
        <f>LOOKUP(C104,'Concrete Mass'!$B$8:$B$123,'Concrete Mass'!$H$8:$H$123)</f>
        <v>435448.656</v>
      </c>
      <c r="N104" s="12">
        <f>LOOKUP(C104,'Concrete Mass'!$B$8:$B$123,'Concrete Mass'!$O$8:$O$123)</f>
        <v>199779.08065312495</v>
      </c>
      <c r="O104" s="12"/>
      <c r="P104" s="116">
        <f>3.5*Dimensions!$C$105*Dimensions!$D$23</f>
        <v>49379.88344522785</v>
      </c>
      <c r="Q104" s="116">
        <f>15*Dimensions!$C$105*Dimensions!$D$23</f>
        <v>211628.07190811934</v>
      </c>
      <c r="R104" s="116">
        <f>50*Dimensions!$C$105*Dimensions!$D$23</f>
        <v>705426.9063603978</v>
      </c>
      <c r="S104" s="12"/>
      <c r="T104" s="12"/>
      <c r="U104" s="116">
        <f>161.1201*Dimensions!$D$22</f>
        <v>175805.5856319965</v>
      </c>
      <c r="V104" s="116">
        <f>366.1821*Dimensions!$D$22</f>
        <v>399558.2086806941</v>
      </c>
      <c r="X104" s="18">
        <f t="shared" si="23"/>
        <v>436813.5409853437</v>
      </c>
      <c r="Z104" s="12">
        <f t="shared" si="24"/>
        <v>705426.9063603978</v>
      </c>
      <c r="AA104" s="12">
        <f t="shared" si="25"/>
        <v>399558.2086806941</v>
      </c>
      <c r="AC104" s="12">
        <f>IF(Dimensions!$D$52="y",Dimensions!$D$53,J104+M104+N104+X104+Z104+AA104)</f>
        <v>3414285.073405669</v>
      </c>
      <c r="AD104" s="12">
        <f t="shared" si="29"/>
        <v>303185766.620587</v>
      </c>
      <c r="AE104" s="12"/>
      <c r="AF104" s="9">
        <f aca="true" t="shared" si="35" ref="AF104:AF124">J104/AC104</f>
        <v>0.36237708747968506</v>
      </c>
      <c r="AH104" s="18">
        <f>Dimensions!$D$49</f>
        <v>269000000</v>
      </c>
      <c r="AI104" s="18">
        <f>Dimensions!$D$50*AJ104</f>
        <v>5021052631.578947</v>
      </c>
      <c r="AJ104" s="17">
        <f t="shared" si="32"/>
        <v>13.94736842105263</v>
      </c>
      <c r="AK104" s="12">
        <f>IF(Dimensions!$D$63="y",Dimensions!$D$64,AH104+AI104)</f>
        <v>0</v>
      </c>
      <c r="AM104" s="105">
        <f>IF(Dimensions!$D$57="y",Dimensions!$D$58,Dimensions!$D$59-((Dimensions!$D$59-Dimensions!$D$60)/109)*(A104-1))</f>
        <v>79.92935779816514</v>
      </c>
      <c r="AN104" s="12">
        <f>LOOKUP(AM104,'Crush Energy'!$A$10:$A$509,'Crush Energy'!$G$10:$G$509)</f>
        <v>4741.364303449111</v>
      </c>
      <c r="AO104" s="12">
        <f>IF(Dimensions!$D$57="y",Dimensions!$D$61,AN104*M104)</f>
        <v>2064620713.5432916</v>
      </c>
      <c r="AP104" s="12">
        <f t="shared" si="30"/>
        <v>121711833714.89989</v>
      </c>
    </row>
    <row r="105" spans="1:42" ht="10.5">
      <c r="A105" s="5">
        <f t="shared" si="26"/>
        <v>98</v>
      </c>
      <c r="B105" s="5">
        <f t="shared" si="27"/>
        <v>19</v>
      </c>
      <c r="C105" s="5">
        <f t="shared" si="21"/>
        <v>13</v>
      </c>
      <c r="E105" s="34">
        <v>1</v>
      </c>
      <c r="F105" s="34">
        <v>11</v>
      </c>
      <c r="H105" s="9">
        <f t="shared" si="34"/>
        <v>90.33333333333333</v>
      </c>
      <c r="I105" s="98">
        <f t="shared" si="22"/>
        <v>1.60613810741688</v>
      </c>
      <c r="J105" s="12">
        <f>Dimensions!$D$40*I105</f>
        <v>1249193.651922824</v>
      </c>
      <c r="K105" s="12">
        <f t="shared" si="28"/>
        <v>65694059.79045093</v>
      </c>
      <c r="M105" s="12">
        <f>LOOKUP(C105,'Concrete Mass'!$B$8:$B$123,'Concrete Mass'!$H$8:$H$123)</f>
        <v>435448.656</v>
      </c>
      <c r="N105" s="12">
        <f>LOOKUP(C105,'Concrete Mass'!$B$8:$B$123,'Concrete Mass'!$O$8:$O$123)</f>
        <v>199779.08065312495</v>
      </c>
      <c r="O105" s="12"/>
      <c r="P105" s="118">
        <f>17.0885*Dimensions!$D$23</f>
        <v>49379.88922454016</v>
      </c>
      <c r="Q105" s="118">
        <f>73.2364*Dimensions!$D$23</f>
        <v>211628.01411499624</v>
      </c>
      <c r="R105" s="118">
        <f>244.1214*Dimensions!$D$23</f>
        <v>705426.9063603978</v>
      </c>
      <c r="S105" s="12"/>
      <c r="T105" s="12"/>
      <c r="U105" s="118">
        <f>161.1201*Dimensions!$D$22</f>
        <v>175805.5856319965</v>
      </c>
      <c r="V105" s="118">
        <f>366.1821*Dimensions!$D$22</f>
        <v>399558.2086806941</v>
      </c>
      <c r="X105" s="18">
        <f t="shared" si="23"/>
        <v>436813.4889715329</v>
      </c>
      <c r="Z105" s="12">
        <f t="shared" si="24"/>
        <v>705426.9063603978</v>
      </c>
      <c r="AA105" s="12">
        <f t="shared" si="25"/>
        <v>399558.2086806941</v>
      </c>
      <c r="AC105" s="12">
        <f>IF(Dimensions!$D$52="y",Dimensions!$D$53,J105+M105+N105+X105+Z105+AA105)</f>
        <v>3426219.992588574</v>
      </c>
      <c r="AD105" s="12">
        <f t="shared" si="29"/>
        <v>306611986.6131756</v>
      </c>
      <c r="AE105" s="12"/>
      <c r="AF105" s="9">
        <f t="shared" si="35"/>
        <v>0.3645982028664291</v>
      </c>
      <c r="AH105" s="18">
        <f>Dimensions!$D$49</f>
        <v>269000000</v>
      </c>
      <c r="AI105" s="18">
        <f>Dimensions!$D$50*AJ105</f>
        <v>5077894736.842105</v>
      </c>
      <c r="AJ105" s="17">
        <f t="shared" si="32"/>
        <v>14.105263157894736</v>
      </c>
      <c r="AK105" s="12">
        <f>IF(Dimensions!$D$63="y",Dimensions!$D$64,AH105+AI105)</f>
        <v>0</v>
      </c>
      <c r="AM105" s="105">
        <f>IF(Dimensions!$D$57="y",Dimensions!$D$58,Dimensions!$D$59-((Dimensions!$D$59-Dimensions!$D$60)/109)*(A105-1))</f>
        <v>78.39633027522936</v>
      </c>
      <c r="AN105" s="12">
        <f>LOOKUP(AM105,'Crush Energy'!$A$10:$A$509,'Crush Energy'!$G$10:$G$509)</f>
        <v>4802.151025288201</v>
      </c>
      <c r="AO105" s="12">
        <f>IF(Dimensions!$D$57="y",Dimensions!$D$61,AN105*M105)</f>
        <v>2091090209.870769</v>
      </c>
      <c r="AP105" s="12">
        <f t="shared" si="30"/>
        <v>123802923924.77066</v>
      </c>
    </row>
    <row r="106" spans="1:42" ht="10.5">
      <c r="A106" s="5">
        <f t="shared" si="26"/>
        <v>99</v>
      </c>
      <c r="B106" s="5">
        <f t="shared" si="27"/>
        <v>18</v>
      </c>
      <c r="C106" s="5">
        <f t="shared" si="21"/>
        <v>12</v>
      </c>
      <c r="E106" s="34">
        <v>1</v>
      </c>
      <c r="F106" s="34">
        <v>11</v>
      </c>
      <c r="H106" s="9">
        <f t="shared" si="34"/>
        <v>90.33333333333333</v>
      </c>
      <c r="I106" s="98">
        <f t="shared" si="22"/>
        <v>1.6214833759590792</v>
      </c>
      <c r="J106" s="12">
        <f>Dimensions!$D$40*I106</f>
        <v>1261128.6231195386</v>
      </c>
      <c r="K106" s="12">
        <f t="shared" si="28"/>
        <v>66955188.41357047</v>
      </c>
      <c r="M106" s="12">
        <f>LOOKUP(C106,'Concrete Mass'!$B$8:$B$123,'Concrete Mass'!$H$8:$H$123)</f>
        <v>435448.656</v>
      </c>
      <c r="N106" s="12">
        <f>LOOKUP(C106,'Concrete Mass'!$B$8:$B$123,'Concrete Mass'!$O$8:$O$123)</f>
        <v>199779.08065312495</v>
      </c>
      <c r="O106" s="12"/>
      <c r="P106" s="118">
        <f>17.0885*Dimensions!$D$23</f>
        <v>49379.88922454016</v>
      </c>
      <c r="Q106" s="118">
        <f>73.2364*Dimensions!$D$23</f>
        <v>211628.01411499624</v>
      </c>
      <c r="R106" s="118">
        <f>244.1214*Dimensions!$D$23</f>
        <v>705426.9063603978</v>
      </c>
      <c r="S106" s="12"/>
      <c r="T106" s="12"/>
      <c r="U106" s="118">
        <f>161.1201*Dimensions!$D$22</f>
        <v>175805.5856319965</v>
      </c>
      <c r="V106" s="118">
        <f>366.1821*Dimensions!$D$22</f>
        <v>399558.2086806941</v>
      </c>
      <c r="X106" s="18">
        <f t="shared" si="23"/>
        <v>436813.4889715329</v>
      </c>
      <c r="Z106" s="12">
        <f t="shared" si="24"/>
        <v>705426.9063603978</v>
      </c>
      <c r="AA106" s="12">
        <f t="shared" si="25"/>
        <v>399558.2086806941</v>
      </c>
      <c r="AC106" s="12">
        <f>IF(Dimensions!$D$52="y",Dimensions!$D$53,J106+M106+N106+X106+Z106+AA106)</f>
        <v>3438154.963785288</v>
      </c>
      <c r="AD106" s="12">
        <f t="shared" si="29"/>
        <v>310050141.57696086</v>
      </c>
      <c r="AE106" s="12"/>
      <c r="AF106" s="9">
        <f t="shared" si="35"/>
        <v>0.36680389232109545</v>
      </c>
      <c r="AH106" s="18">
        <f>Dimensions!$D$49</f>
        <v>269000000</v>
      </c>
      <c r="AI106" s="18">
        <f>Dimensions!$D$50*AJ106</f>
        <v>5134736842.105263</v>
      </c>
      <c r="AJ106" s="17">
        <f t="shared" si="32"/>
        <v>14.26315789473684</v>
      </c>
      <c r="AK106" s="12">
        <f>IF(Dimensions!$D$63="y",Dimensions!$D$64,AH106+AI106)</f>
        <v>0</v>
      </c>
      <c r="AM106" s="105">
        <f>IF(Dimensions!$D$57="y",Dimensions!$D$58,Dimensions!$D$59-((Dimensions!$D$59-Dimensions!$D$60)/109)*(A106-1))</f>
        <v>76.86330275229358</v>
      </c>
      <c r="AN106" s="12">
        <f>LOOKUP(AM106,'Crush Energy'!$A$10:$A$509,'Crush Energy'!$G$10:$G$509)</f>
        <v>4928.523420690522</v>
      </c>
      <c r="AO106" s="12">
        <f>IF(Dimensions!$D$57="y",Dimensions!$D$61,AN106*M106)</f>
        <v>2146118899.6042104</v>
      </c>
      <c r="AP106" s="12">
        <f t="shared" si="30"/>
        <v>125949042824.37488</v>
      </c>
    </row>
    <row r="107" spans="1:42" ht="10.5">
      <c r="A107" s="5">
        <f t="shared" si="26"/>
        <v>100</v>
      </c>
      <c r="B107" s="5">
        <f t="shared" si="27"/>
        <v>17</v>
      </c>
      <c r="C107" s="5">
        <f t="shared" si="21"/>
        <v>11</v>
      </c>
      <c r="E107" s="34">
        <v>1</v>
      </c>
      <c r="F107" s="34">
        <v>11</v>
      </c>
      <c r="H107" s="9">
        <f>$H$8+(($H$117-$H$8)/12)*11</f>
        <v>95.16666666666666</v>
      </c>
      <c r="I107" s="98">
        <f t="shared" si="22"/>
        <v>1.6368286445012787</v>
      </c>
      <c r="J107" s="12">
        <f>Dimensions!$D$40*I107</f>
        <v>1273063.5943162537</v>
      </c>
      <c r="K107" s="12">
        <f t="shared" si="28"/>
        <v>68228252.00788672</v>
      </c>
      <c r="M107" s="12">
        <f>LOOKUP(C107,'Concrete Mass'!$B$8:$B$123,'Concrete Mass'!$H$8:$H$123)</f>
        <v>435448.656</v>
      </c>
      <c r="N107" s="12">
        <f>LOOKUP(C107,'Concrete Mass'!$B$8:$B$123,'Concrete Mass'!$O$8:$O$123)</f>
        <v>199779.08065312495</v>
      </c>
      <c r="O107" s="12"/>
      <c r="P107" s="118">
        <f>17.0885*Dimensions!$D$23</f>
        <v>49379.88922454016</v>
      </c>
      <c r="Q107" s="118">
        <f>73.2364*Dimensions!$D$23</f>
        <v>211628.01411499624</v>
      </c>
      <c r="R107" s="118">
        <f>244.1214*Dimensions!$D$23</f>
        <v>705426.9063603978</v>
      </c>
      <c r="S107" s="12"/>
      <c r="T107" s="12"/>
      <c r="U107" s="118">
        <f>161.1201*Dimensions!$D$22</f>
        <v>175805.5856319965</v>
      </c>
      <c r="V107" s="118">
        <f>366.1821*Dimensions!$D$22</f>
        <v>399558.2086806941</v>
      </c>
      <c r="X107" s="18">
        <f t="shared" si="23"/>
        <v>436813.4889715329</v>
      </c>
      <c r="Z107" s="12">
        <f t="shared" si="24"/>
        <v>705426.9063603978</v>
      </c>
      <c r="AA107" s="12">
        <f t="shared" si="25"/>
        <v>399558.2086806941</v>
      </c>
      <c r="AC107" s="12">
        <f>IF(Dimensions!$D$52="y",Dimensions!$D$53,J107+M107+N107+X107+Z107+AA107)</f>
        <v>3450089.9349820036</v>
      </c>
      <c r="AD107" s="12">
        <f t="shared" si="29"/>
        <v>313500231.51194286</v>
      </c>
      <c r="AE107" s="12"/>
      <c r="AF107" s="9">
        <f t="shared" si="35"/>
        <v>0.36899432139669547</v>
      </c>
      <c r="AH107" s="18">
        <f>Dimensions!$D$49</f>
        <v>269000000</v>
      </c>
      <c r="AI107" s="18">
        <f>Dimensions!$D$50*AJ107</f>
        <v>5191578947.368421</v>
      </c>
      <c r="AJ107" s="17">
        <f t="shared" si="32"/>
        <v>14.421052631578947</v>
      </c>
      <c r="AK107" s="12">
        <f>IF(Dimensions!$D$63="y",Dimensions!$D$64,AH107+AI107)</f>
        <v>0</v>
      </c>
      <c r="AM107" s="105">
        <f>IF(Dimensions!$D$57="y",Dimensions!$D$58,Dimensions!$D$59-((Dimensions!$D$59-Dimensions!$D$60)/109)*(A107-1))</f>
        <v>75.3302752293578</v>
      </c>
      <c r="AN107" s="12">
        <f>LOOKUP(AM107,'Crush Energy'!$A$10:$A$509,'Crush Energy'!$G$10:$G$509)</f>
        <v>4994.23706629973</v>
      </c>
      <c r="AO107" s="12">
        <f>IF(Dimensions!$D$57="y",Dimensions!$D$61,AN107*M107)</f>
        <v>2174733818.2656</v>
      </c>
      <c r="AP107" s="12">
        <f t="shared" si="30"/>
        <v>128123776642.64047</v>
      </c>
    </row>
    <row r="108" spans="1:42" ht="10.5">
      <c r="A108" s="5">
        <f t="shared" si="26"/>
        <v>101</v>
      </c>
      <c r="B108" s="5">
        <f t="shared" si="27"/>
        <v>16</v>
      </c>
      <c r="C108" s="5">
        <f t="shared" si="21"/>
        <v>10</v>
      </c>
      <c r="E108" s="34">
        <v>1</v>
      </c>
      <c r="F108" s="34">
        <v>11</v>
      </c>
      <c r="H108" s="9">
        <f aca="true" t="shared" si="36" ref="H108:H114">$H$8+(($H$117-$H$8)/12)*11</f>
        <v>95.16666666666666</v>
      </c>
      <c r="I108" s="98">
        <f t="shared" si="22"/>
        <v>1.6521739130434783</v>
      </c>
      <c r="J108" s="12">
        <f>Dimensions!$D$40*I108</f>
        <v>1284998.5655129685</v>
      </c>
      <c r="K108" s="12">
        <f t="shared" si="28"/>
        <v>69513250.5733997</v>
      </c>
      <c r="M108" s="12">
        <f>LOOKUP(C108,'Concrete Mass'!$B$8:$B$123,'Concrete Mass'!$H$8:$H$123)</f>
        <v>435448.656</v>
      </c>
      <c r="N108" s="12">
        <f>LOOKUP(C108,'Concrete Mass'!$B$8:$B$123,'Concrete Mass'!$O$8:$O$123)</f>
        <v>199779.08065312495</v>
      </c>
      <c r="O108" s="12"/>
      <c r="P108" s="118">
        <f>17.0885*Dimensions!$D$23</f>
        <v>49379.88922454016</v>
      </c>
      <c r="Q108" s="118">
        <f>73.2364*Dimensions!$D$23</f>
        <v>211628.01411499624</v>
      </c>
      <c r="R108" s="118">
        <f>244.1214*Dimensions!$D$23</f>
        <v>705426.9063603978</v>
      </c>
      <c r="S108" s="12"/>
      <c r="T108" s="12"/>
      <c r="U108" s="118">
        <f>161.1201*Dimensions!$D$22</f>
        <v>175805.5856319965</v>
      </c>
      <c r="V108" s="118">
        <f>366.1821*Dimensions!$D$22</f>
        <v>399558.2086806941</v>
      </c>
      <c r="X108" s="18">
        <f t="shared" si="23"/>
        <v>436813.4889715329</v>
      </c>
      <c r="Z108" s="12">
        <f t="shared" si="24"/>
        <v>705426.9063603978</v>
      </c>
      <c r="AA108" s="12">
        <f t="shared" si="25"/>
        <v>399558.2086806941</v>
      </c>
      <c r="AC108" s="12">
        <f>IF(Dimensions!$D$52="y",Dimensions!$D$53,J108+M108+N108+X108+Z108+AA108)</f>
        <v>3462024.9061787184</v>
      </c>
      <c r="AD108" s="12">
        <f t="shared" si="29"/>
        <v>316962256.4181216</v>
      </c>
      <c r="AE108" s="12"/>
      <c r="AF108" s="9">
        <f t="shared" si="35"/>
        <v>0.3711696479189435</v>
      </c>
      <c r="AH108" s="18">
        <f>Dimensions!$D$49</f>
        <v>269000000</v>
      </c>
      <c r="AI108" s="18">
        <f>Dimensions!$D$50*AJ108</f>
        <v>5248421052.631578</v>
      </c>
      <c r="AJ108" s="17">
        <f t="shared" si="32"/>
        <v>14.578947368421051</v>
      </c>
      <c r="AK108" s="12">
        <f>IF(Dimensions!$D$63="y",Dimensions!$D$64,AH108+AI108)</f>
        <v>0</v>
      </c>
      <c r="AM108" s="105">
        <f>IF(Dimensions!$D$57="y",Dimensions!$D$58,Dimensions!$D$59-((Dimensions!$D$59-Dimensions!$D$60)/109)*(A108-1))</f>
        <v>73.79724770642201</v>
      </c>
      <c r="AN108" s="12">
        <f>LOOKUP(AM108,'Crush Energy'!$A$10:$A$509,'Crush Energy'!$G$10:$G$509)</f>
        <v>5131.065479075063</v>
      </c>
      <c r="AO108" s="12">
        <f>IF(Dimensions!$D$57="y",Dimensions!$D$61,AN108*M108)</f>
        <v>2234315566.7112327</v>
      </c>
      <c r="AP108" s="12">
        <f t="shared" si="30"/>
        <v>130358092209.3517</v>
      </c>
    </row>
    <row r="109" spans="1:42" ht="10.5">
      <c r="A109" s="5">
        <f t="shared" si="26"/>
        <v>102</v>
      </c>
      <c r="B109" s="5">
        <f t="shared" si="27"/>
        <v>15</v>
      </c>
      <c r="C109" s="5">
        <f t="shared" si="21"/>
        <v>9</v>
      </c>
      <c r="E109" s="5">
        <v>12</v>
      </c>
      <c r="F109" s="5">
        <v>12</v>
      </c>
      <c r="H109" s="9">
        <f t="shared" si="36"/>
        <v>95.16666666666666</v>
      </c>
      <c r="I109" s="98">
        <f t="shared" si="22"/>
        <v>1.6675191815856778</v>
      </c>
      <c r="J109" s="12">
        <f>Dimensions!$D$40*I109</f>
        <v>1296933.5367096835</v>
      </c>
      <c r="K109" s="12">
        <f t="shared" si="28"/>
        <v>70810184.11010937</v>
      </c>
      <c r="M109" s="12">
        <f>LOOKUP(C109,'Concrete Mass'!$B$8:$B$123,'Concrete Mass'!$H$8:$H$123)</f>
        <v>435448.656</v>
      </c>
      <c r="N109" s="12">
        <f>LOOKUP(C109,'Concrete Mass'!$B$8:$B$123,'Concrete Mass'!$O$8:$O$123)</f>
        <v>199779.08065312495</v>
      </c>
      <c r="O109" s="12"/>
      <c r="P109" s="117">
        <f>75*Dimensions!$C$105*Dimensions!$D$23</f>
        <v>1058140.3595405968</v>
      </c>
      <c r="Q109" s="117">
        <f>75*Dimensions!$C$105*Dimensions!$D$23</f>
        <v>1058140.3595405968</v>
      </c>
      <c r="R109" s="117">
        <f>75*Dimensions!$C$105*Dimensions!$D$23</f>
        <v>1058140.3595405968</v>
      </c>
      <c r="S109" s="12"/>
      <c r="T109" s="12"/>
      <c r="U109" s="117">
        <f>322.3402*Dimensions!$D$22</f>
        <v>351720.28588447295</v>
      </c>
      <c r="V109" s="117">
        <f>366.1821*Dimensions!$D$22</f>
        <v>399558.2086806941</v>
      </c>
      <c r="X109" s="18">
        <f t="shared" si="23"/>
        <v>2468001.0049656667</v>
      </c>
      <c r="Z109" s="12">
        <f t="shared" si="24"/>
        <v>1058140.3595405968</v>
      </c>
      <c r="AA109" s="12">
        <f t="shared" si="25"/>
        <v>399558.2086806941</v>
      </c>
      <c r="AC109" s="12">
        <f>IF(Dimensions!$D$52="y",Dimensions!$D$53,J109+M109+N109+X109+Z109+AA109)</f>
        <v>5857860.846549765</v>
      </c>
      <c r="AD109" s="12">
        <f t="shared" si="29"/>
        <v>322820117.2646713</v>
      </c>
      <c r="AE109" s="12"/>
      <c r="AF109" s="9">
        <f t="shared" si="35"/>
        <v>0.22140053693381387</v>
      </c>
      <c r="AH109" s="18">
        <f>Dimensions!$D$49</f>
        <v>269000000</v>
      </c>
      <c r="AI109" s="18">
        <f>Dimensions!$D$50*AJ109</f>
        <v>5305263157.894736</v>
      </c>
      <c r="AJ109" s="17">
        <f t="shared" si="32"/>
        <v>14.736842105263158</v>
      </c>
      <c r="AK109" s="12">
        <f>IF(Dimensions!$D$63="y",Dimensions!$D$64,AH109+AI109)</f>
        <v>0</v>
      </c>
      <c r="AM109" s="105">
        <f>IF(Dimensions!$D$57="y",Dimensions!$D$58,Dimensions!$D$59-((Dimensions!$D$59-Dimensions!$D$60)/109)*(A109-1))</f>
        <v>72.26422018348623</v>
      </c>
      <c r="AN109" s="12">
        <f>LOOKUP(AM109,'Crush Energy'!$A$10:$A$509,'Crush Energy'!$G$10:$G$509)</f>
        <v>5202.330277395551</v>
      </c>
      <c r="AO109" s="12">
        <f>IF(Dimensions!$D$57="y",Dimensions!$D$61,AN109*M109)</f>
        <v>2265347727.36</v>
      </c>
      <c r="AP109" s="12">
        <f t="shared" si="30"/>
        <v>132623439936.7117</v>
      </c>
    </row>
    <row r="110" spans="1:42" ht="10.5">
      <c r="A110" s="5">
        <f t="shared" si="26"/>
        <v>103</v>
      </c>
      <c r="B110" s="5">
        <f t="shared" si="27"/>
        <v>14</v>
      </c>
      <c r="C110" s="5">
        <f t="shared" si="21"/>
        <v>8</v>
      </c>
      <c r="E110" s="5">
        <v>13</v>
      </c>
      <c r="F110" s="5">
        <v>13</v>
      </c>
      <c r="H110" s="9">
        <f t="shared" si="36"/>
        <v>95.16666666666666</v>
      </c>
      <c r="I110" s="98">
        <f t="shared" si="22"/>
        <v>1.6828644501278773</v>
      </c>
      <c r="J110" s="12">
        <f>Dimensions!$D$40*I110</f>
        <v>1308868.5079063983</v>
      </c>
      <c r="K110" s="12">
        <f t="shared" si="28"/>
        <v>72119052.61801577</v>
      </c>
      <c r="M110" s="12">
        <f>LOOKUP(C110,'Concrete Mass'!$B$8:$B$123,'Concrete Mass'!$H$8:$H$123)</f>
        <v>435448.656</v>
      </c>
      <c r="N110" s="12">
        <f>LOOKUP(C110,'Concrete Mass'!$B$8:$B$123,'Concrete Mass'!$O$8:$O$123)</f>
        <v>199779.08065312495</v>
      </c>
      <c r="O110" s="12"/>
      <c r="P110" s="117">
        <f>75*Dimensions!$C$105*Dimensions!$D$23</f>
        <v>1058140.3595405968</v>
      </c>
      <c r="Q110" s="117">
        <f>75*Dimensions!$C$105*Dimensions!$D$23</f>
        <v>1058140.3595405968</v>
      </c>
      <c r="R110" s="117">
        <f>75*Dimensions!$C$105*Dimensions!$D$23</f>
        <v>1058140.3595405968</v>
      </c>
      <c r="S110" s="12"/>
      <c r="T110" s="12"/>
      <c r="U110" s="117">
        <f>322.3402*Dimensions!$D$22</f>
        <v>351720.28588447295</v>
      </c>
      <c r="V110" s="117">
        <f>366.1821*Dimensions!$D$22</f>
        <v>399558.2086806941</v>
      </c>
      <c r="X110" s="18">
        <f t="shared" si="23"/>
        <v>2468001.0049656667</v>
      </c>
      <c r="Z110" s="12">
        <f t="shared" si="24"/>
        <v>1058140.3595405968</v>
      </c>
      <c r="AA110" s="12">
        <f t="shared" si="25"/>
        <v>399558.2086806941</v>
      </c>
      <c r="AC110" s="12">
        <f>IF(Dimensions!$D$52="y",Dimensions!$D$53,J110+M110+N110+X110+Z110+AA110)</f>
        <v>5869795.81774648</v>
      </c>
      <c r="AD110" s="12">
        <f t="shared" si="29"/>
        <v>328689913.0824178</v>
      </c>
      <c r="AE110" s="12"/>
      <c r="AF110" s="9">
        <f t="shared" si="35"/>
        <v>0.22298365199505293</v>
      </c>
      <c r="AH110" s="18">
        <f>Dimensions!$D$49</f>
        <v>269000000</v>
      </c>
      <c r="AI110" s="18">
        <f>Dimensions!$D$50*AJ110</f>
        <v>5362105263.157894</v>
      </c>
      <c r="AJ110" s="17">
        <f t="shared" si="32"/>
        <v>14.894736842105262</v>
      </c>
      <c r="AK110" s="12">
        <f>IF(Dimensions!$D$63="y",Dimensions!$D$64,AH110+AI110)</f>
        <v>0</v>
      </c>
      <c r="AM110" s="105">
        <f>IF(Dimensions!$D$57="y",Dimensions!$D$58,Dimensions!$D$59-((Dimensions!$D$59-Dimensions!$D$60)/109)*(A110-1))</f>
        <v>70.73119266055048</v>
      </c>
      <c r="AN110" s="12">
        <f>LOOKUP(AM110,'Crush Energy'!$A$10:$A$509,'Crush Energy'!$G$10:$G$509)</f>
        <v>5350.968285321139</v>
      </c>
      <c r="AO110" s="12">
        <f>IF(Dimensions!$D$57="y",Dimensions!$D$61,AN110*M110)</f>
        <v>2330071948.1417146</v>
      </c>
      <c r="AP110" s="12">
        <f t="shared" si="30"/>
        <v>134953511884.85341</v>
      </c>
    </row>
    <row r="111" spans="1:42" ht="10.5">
      <c r="A111" s="5">
        <f t="shared" si="26"/>
        <v>104</v>
      </c>
      <c r="B111" s="5">
        <f t="shared" si="27"/>
        <v>13</v>
      </c>
      <c r="C111" s="5">
        <f t="shared" si="21"/>
        <v>7</v>
      </c>
      <c r="E111" s="5">
        <v>12</v>
      </c>
      <c r="F111" s="5">
        <v>12</v>
      </c>
      <c r="H111" s="9">
        <f t="shared" si="36"/>
        <v>95.16666666666666</v>
      </c>
      <c r="I111" s="98">
        <f t="shared" si="22"/>
        <v>1.6982097186700766</v>
      </c>
      <c r="J111" s="12">
        <f>Dimensions!$D$40*I111</f>
        <v>1320803.479103113</v>
      </c>
      <c r="K111" s="12">
        <f t="shared" si="28"/>
        <v>73439856.09711888</v>
      </c>
      <c r="M111" s="12">
        <f>LOOKUP(C111,'Concrete Mass'!$B$8:$B$123,'Concrete Mass'!$H$8:$H$123)</f>
        <v>435448.656</v>
      </c>
      <c r="N111" s="12">
        <f>LOOKUP(C111,'Concrete Mass'!$B$8:$B$123,'Concrete Mass'!$O$8:$O$123)</f>
        <v>199779.08065312495</v>
      </c>
      <c r="O111" s="12"/>
      <c r="P111" s="117">
        <f>75*Dimensions!$C$105*Dimensions!$D$23</f>
        <v>1058140.3595405968</v>
      </c>
      <c r="Q111" s="117">
        <f>75*Dimensions!$C$105*Dimensions!$D$23</f>
        <v>1058140.3595405968</v>
      </c>
      <c r="R111" s="117">
        <f>75*Dimensions!$C$105*Dimensions!$D$23</f>
        <v>1058140.3595405968</v>
      </c>
      <c r="S111" s="12"/>
      <c r="T111" s="12"/>
      <c r="U111" s="117">
        <f>322.3402*Dimensions!$D$22</f>
        <v>351720.28588447295</v>
      </c>
      <c r="V111" s="117">
        <f>366.1821*Dimensions!$D$22</f>
        <v>399558.2086806941</v>
      </c>
      <c r="X111" s="18">
        <f t="shared" si="23"/>
        <v>2468001.0049656667</v>
      </c>
      <c r="Z111" s="12">
        <f t="shared" si="24"/>
        <v>1058140.3595405968</v>
      </c>
      <c r="AA111" s="12">
        <f t="shared" si="25"/>
        <v>399558.2086806941</v>
      </c>
      <c r="AC111" s="12">
        <f>IF(Dimensions!$D$52="y",Dimensions!$D$53,J111+M111+N111+X111+Z111+AA111)</f>
        <v>5881730.788943195</v>
      </c>
      <c r="AD111" s="12">
        <f t="shared" si="29"/>
        <v>334571643.87136096</v>
      </c>
      <c r="AE111" s="12"/>
      <c r="AF111" s="9">
        <f t="shared" si="35"/>
        <v>0.22456034226966542</v>
      </c>
      <c r="AH111" s="18">
        <f>Dimensions!$D$49</f>
        <v>269000000</v>
      </c>
      <c r="AI111" s="18">
        <f>Dimensions!$D$50*AJ111</f>
        <v>5418947368.421053</v>
      </c>
      <c r="AJ111" s="17">
        <f t="shared" si="32"/>
        <v>15.052631578947368</v>
      </c>
      <c r="AK111" s="12">
        <f>IF(Dimensions!$D$63="y",Dimensions!$D$64,AH111+AI111)</f>
        <v>0</v>
      </c>
      <c r="AM111" s="105">
        <f>IF(Dimensions!$D$57="y",Dimensions!$D$58,Dimensions!$D$59-((Dimensions!$D$59-Dimensions!$D$60)/109)*(A111-1))</f>
        <v>69.1981651376147</v>
      </c>
      <c r="AN111" s="12">
        <f>LOOKUP(AM111,'Crush Energy'!$A$10:$A$509,'Crush Energy'!$G$10:$G$509)</f>
        <v>5428.518550325792</v>
      </c>
      <c r="AO111" s="12">
        <f>IF(Dimensions!$D$57="y",Dimensions!$D$61,AN111*M111)</f>
        <v>2363841106.8104343</v>
      </c>
      <c r="AP111" s="12">
        <f t="shared" si="30"/>
        <v>137317352991.66385</v>
      </c>
    </row>
    <row r="112" spans="1:42" ht="10.5">
      <c r="A112" s="5">
        <f t="shared" si="26"/>
        <v>105</v>
      </c>
      <c r="B112" s="5">
        <f t="shared" si="27"/>
        <v>12</v>
      </c>
      <c r="C112" s="5">
        <f t="shared" si="21"/>
        <v>6</v>
      </c>
      <c r="E112" s="5" t="s">
        <v>146</v>
      </c>
      <c r="F112" s="5" t="s">
        <v>146</v>
      </c>
      <c r="H112" s="9">
        <f t="shared" si="36"/>
        <v>95.16666666666666</v>
      </c>
      <c r="I112" s="98">
        <f t="shared" si="22"/>
        <v>1.7135549872122762</v>
      </c>
      <c r="J112" s="12">
        <f>Dimensions!$D$40*I112</f>
        <v>1332738.450299828</v>
      </c>
      <c r="K112" s="12">
        <f t="shared" si="28"/>
        <v>74772594.54741871</v>
      </c>
      <c r="M112" s="12">
        <f>LOOKUP(C112,'Concrete Mass'!$B$8:$B$123,'Concrete Mass'!$H$8:$H$123)</f>
        <v>435448.656</v>
      </c>
      <c r="N112" s="12">
        <f>LOOKUP(C112,'Concrete Mass'!$B$8:$B$123,'Concrete Mass'!$O$8:$O$123)</f>
        <v>199779.08065312495</v>
      </c>
      <c r="O112" s="12"/>
      <c r="P112" s="42">
        <v>0</v>
      </c>
      <c r="Q112" s="42">
        <v>0</v>
      </c>
      <c r="R112" s="42">
        <v>0</v>
      </c>
      <c r="S112" s="12"/>
      <c r="T112" s="12"/>
      <c r="U112" s="117">
        <f>322.3402*Dimensions!$D$22</f>
        <v>351720.28588447295</v>
      </c>
      <c r="V112" s="117">
        <f>366.1821*Dimensions!$D$22</f>
        <v>399558.2086806941</v>
      </c>
      <c r="X112" s="18">
        <f t="shared" si="23"/>
        <v>351720.28588447295</v>
      </c>
      <c r="Z112" s="12">
        <f t="shared" si="24"/>
        <v>0</v>
      </c>
      <c r="AA112" s="12">
        <f t="shared" si="25"/>
        <v>399558.2086806941</v>
      </c>
      <c r="AC112" s="12">
        <f>IF(Dimensions!$D$52="y",Dimensions!$D$53,J112+M112+N112+X112+Z112+AA112)</f>
        <v>2719244.6815181198</v>
      </c>
      <c r="AD112" s="12">
        <f t="shared" si="29"/>
        <v>337290888.5528791</v>
      </c>
      <c r="AE112" s="12"/>
      <c r="AF112" s="9">
        <f t="shared" si="35"/>
        <v>0.49011347134667455</v>
      </c>
      <c r="AH112" s="18">
        <f>Dimensions!$D$49</f>
        <v>269000000</v>
      </c>
      <c r="AI112" s="18">
        <f>Dimensions!$D$50*AJ112</f>
        <v>5475789473.68421</v>
      </c>
      <c r="AJ112" s="17">
        <f t="shared" si="32"/>
        <v>15.210526315789473</v>
      </c>
      <c r="AK112" s="12">
        <f>IF(Dimensions!$D$63="y",Dimensions!$D$64,AH112+AI112)</f>
        <v>0</v>
      </c>
      <c r="AM112" s="105">
        <f>IF(Dimensions!$D$57="y",Dimensions!$D$58,Dimensions!$D$59-((Dimensions!$D$59-Dimensions!$D$60)/109)*(A112-1))</f>
        <v>67.66513761467891</v>
      </c>
      <c r="AN112" s="12">
        <f>LOOKUP(AM112,'Crush Energy'!$A$10:$A$509,'Crush Energy'!$G$10:$G$509)</f>
        <v>5590.563880186263</v>
      </c>
      <c r="AO112" s="12">
        <f>IF(Dimensions!$D$57="y",Dimensions!$D$61,AN112*M112)</f>
        <v>2434403527.9092536</v>
      </c>
      <c r="AP112" s="12">
        <f t="shared" si="30"/>
        <v>139751756519.5731</v>
      </c>
    </row>
    <row r="113" spans="1:42" ht="10.5">
      <c r="A113" s="5">
        <f t="shared" si="26"/>
        <v>106</v>
      </c>
      <c r="B113" s="5">
        <f t="shared" si="27"/>
        <v>11</v>
      </c>
      <c r="C113" s="5">
        <f t="shared" si="21"/>
        <v>5</v>
      </c>
      <c r="E113" s="5" t="s">
        <v>146</v>
      </c>
      <c r="F113" s="5" t="s">
        <v>146</v>
      </c>
      <c r="H113" s="9">
        <f t="shared" si="36"/>
        <v>95.16666666666666</v>
      </c>
      <c r="I113" s="98">
        <f t="shared" si="22"/>
        <v>1.7289002557544757</v>
      </c>
      <c r="J113" s="12">
        <f>Dimensions!$D$40*I113</f>
        <v>1344673.4214965429</v>
      </c>
      <c r="K113" s="12">
        <f t="shared" si="28"/>
        <v>76117267.96891525</v>
      </c>
      <c r="M113" s="12">
        <f>LOOKUP(C113,'Concrete Mass'!$B$8:$B$123,'Concrete Mass'!$H$8:$H$123)</f>
        <v>435448.656</v>
      </c>
      <c r="N113" s="12">
        <f>LOOKUP(C113,'Concrete Mass'!$B$8:$B$123,'Concrete Mass'!$O$8:$O$123)</f>
        <v>199779.08065312495</v>
      </c>
      <c r="O113" s="12"/>
      <c r="P113" s="42">
        <v>0</v>
      </c>
      <c r="Q113" s="42">
        <v>0</v>
      </c>
      <c r="R113" s="42">
        <v>0</v>
      </c>
      <c r="S113" s="12"/>
      <c r="T113" s="12"/>
      <c r="U113" s="117">
        <f>322.3402*Dimensions!$D$22</f>
        <v>351720.28588447295</v>
      </c>
      <c r="V113" s="117">
        <f>366.1821*Dimensions!$D$22</f>
        <v>399558.2086806941</v>
      </c>
      <c r="X113" s="18">
        <f t="shared" si="23"/>
        <v>351720.28588447295</v>
      </c>
      <c r="Z113" s="12">
        <f t="shared" si="24"/>
        <v>0</v>
      </c>
      <c r="AA113" s="12">
        <f t="shared" si="25"/>
        <v>399558.2086806941</v>
      </c>
      <c r="AC113" s="12">
        <f>IF(Dimensions!$D$52="y",Dimensions!$D$53,J113+M113+N113+X113+Z113+AA113)</f>
        <v>2731179.6527148345</v>
      </c>
      <c r="AD113" s="12">
        <f t="shared" si="29"/>
        <v>340022068.20559394</v>
      </c>
      <c r="AE113" s="12"/>
      <c r="AF113" s="9">
        <f t="shared" si="35"/>
        <v>0.49234162247800756</v>
      </c>
      <c r="AH113" s="18">
        <f>Dimensions!$D$49</f>
        <v>269000000</v>
      </c>
      <c r="AI113" s="18">
        <f>Dimensions!$D$50*AJ113</f>
        <v>5532631578.947369</v>
      </c>
      <c r="AJ113" s="17">
        <f t="shared" si="32"/>
        <v>15.368421052631579</v>
      </c>
      <c r="AK113" s="12">
        <f>IF(Dimensions!$D$63="y",Dimensions!$D$64,AH113+AI113)</f>
        <v>0</v>
      </c>
      <c r="AM113" s="105">
        <f>IF(Dimensions!$D$57="y",Dimensions!$D$58,Dimensions!$D$59-((Dimensions!$D$59-Dimensions!$D$60)/109)*(A113-1))</f>
        <v>66.13211009174313</v>
      </c>
      <c r="AN113" s="12">
        <f>LOOKUP(AM113,'Crush Energy'!$A$10:$A$509,'Crush Energy'!$G$10:$G$509)</f>
        <v>5675.269393522419</v>
      </c>
      <c r="AO113" s="12">
        <f>IF(Dimensions!$D$57="y",Dimensions!$D$61,AN113*M113)</f>
        <v>2471288429.8472724</v>
      </c>
      <c r="AP113" s="12">
        <f t="shared" si="30"/>
        <v>142223044949.42035</v>
      </c>
    </row>
    <row r="114" spans="1:42" ht="10.5">
      <c r="A114" s="5">
        <f t="shared" si="26"/>
        <v>107</v>
      </c>
      <c r="B114" s="5">
        <f t="shared" si="27"/>
        <v>10</v>
      </c>
      <c r="C114" s="5">
        <f t="shared" si="21"/>
        <v>4</v>
      </c>
      <c r="E114" s="5" t="s">
        <v>146</v>
      </c>
      <c r="F114" s="5" t="s">
        <v>146</v>
      </c>
      <c r="H114" s="9">
        <f t="shared" si="36"/>
        <v>95.16666666666666</v>
      </c>
      <c r="I114" s="98">
        <f t="shared" si="22"/>
        <v>1.7442455242966752</v>
      </c>
      <c r="J114" s="12">
        <f>Dimensions!$D$40*I114</f>
        <v>1356608.392693258</v>
      </c>
      <c r="K114" s="12">
        <f t="shared" si="28"/>
        <v>77473876.3616085</v>
      </c>
      <c r="M114" s="12">
        <f>LOOKUP(C114,'Concrete Mass'!$B$8:$B$123,'Concrete Mass'!$H$8:$H$123)</f>
        <v>435448.656</v>
      </c>
      <c r="N114" s="12">
        <f>LOOKUP(C114,'Concrete Mass'!$B$8:$B$123,'Concrete Mass'!$O$8:$O$123)</f>
        <v>199779.08065312495</v>
      </c>
      <c r="O114" s="12"/>
      <c r="P114" s="42">
        <v>0</v>
      </c>
      <c r="Q114" s="42">
        <v>0</v>
      </c>
      <c r="R114" s="42">
        <v>0</v>
      </c>
      <c r="S114" s="12"/>
      <c r="T114" s="12"/>
      <c r="U114" s="117">
        <f>322.3402*Dimensions!$D$22</f>
        <v>351720.28588447295</v>
      </c>
      <c r="V114" s="117">
        <f>366.1821*Dimensions!$D$22</f>
        <v>399558.2086806941</v>
      </c>
      <c r="X114" s="18">
        <f t="shared" si="23"/>
        <v>351720.28588447295</v>
      </c>
      <c r="Z114" s="12">
        <f t="shared" si="24"/>
        <v>0</v>
      </c>
      <c r="AA114" s="12">
        <f t="shared" si="25"/>
        <v>399558.2086806941</v>
      </c>
      <c r="AC114" s="12">
        <f>IF(Dimensions!$D$52="y",Dimensions!$D$53,J114+M114+N114+X114+Z114+AA114)</f>
        <v>2743114.62391155</v>
      </c>
      <c r="AD114" s="12">
        <f t="shared" si="29"/>
        <v>342765182.8295055</v>
      </c>
      <c r="AE114" s="12"/>
      <c r="AF114" s="9">
        <f t="shared" si="35"/>
        <v>0.494550384758913</v>
      </c>
      <c r="AH114" s="18">
        <f>Dimensions!$D$49</f>
        <v>269000000</v>
      </c>
      <c r="AI114" s="18">
        <f>Dimensions!$D$50*AJ114</f>
        <v>5589473684.2105255</v>
      </c>
      <c r="AJ114" s="17">
        <f t="shared" si="32"/>
        <v>15.526315789473683</v>
      </c>
      <c r="AK114" s="12">
        <f>IF(Dimensions!$D$63="y",Dimensions!$D$64,AH114+AI114)</f>
        <v>0</v>
      </c>
      <c r="AM114" s="105">
        <f>IF(Dimensions!$D$57="y",Dimensions!$D$58,Dimensions!$D$59-((Dimensions!$D$59-Dimensions!$D$60)/109)*(A114-1))</f>
        <v>64.59908256880735</v>
      </c>
      <c r="AN114" s="12">
        <f>LOOKUP(AM114,'Crush Energy'!$A$10:$A$509,'Crush Energy'!$G$10:$G$509)</f>
        <v>5852.621562069996</v>
      </c>
      <c r="AO114" s="12">
        <f>IF(Dimensions!$D$57="y",Dimensions!$D$61,AN114*M114)</f>
        <v>2548516193.28</v>
      </c>
      <c r="AP114" s="12">
        <f t="shared" si="30"/>
        <v>144771561142.70035</v>
      </c>
    </row>
    <row r="115" spans="1:42" ht="10.5">
      <c r="A115" s="5">
        <f t="shared" si="26"/>
        <v>108</v>
      </c>
      <c r="B115" s="5">
        <f t="shared" si="27"/>
        <v>9</v>
      </c>
      <c r="C115" s="5">
        <f t="shared" si="21"/>
        <v>3</v>
      </c>
      <c r="E115" s="5" t="s">
        <v>146</v>
      </c>
      <c r="F115" s="5" t="s">
        <v>146</v>
      </c>
      <c r="H115" s="9">
        <v>100</v>
      </c>
      <c r="I115" s="98">
        <f t="shared" si="22"/>
        <v>1.7595907928388748</v>
      </c>
      <c r="J115" s="12">
        <f>Dimensions!$D$40*I115</f>
        <v>1368543.3638899727</v>
      </c>
      <c r="K115" s="12">
        <f t="shared" si="28"/>
        <v>78842419.72549848</v>
      </c>
      <c r="M115" s="12">
        <f>LOOKUP(C115,'Concrete Mass'!$B$8:$B$123,'Concrete Mass'!$H$8:$H$123)</f>
        <v>435448.656</v>
      </c>
      <c r="N115" s="12">
        <f>LOOKUP(C115,'Concrete Mass'!$B$8:$B$123,'Concrete Mass'!$O$8:$O$123)</f>
        <v>199779.08065312495</v>
      </c>
      <c r="O115" s="12"/>
      <c r="P115" s="42">
        <v>0</v>
      </c>
      <c r="Q115" s="42">
        <v>0</v>
      </c>
      <c r="R115" s="42">
        <v>0</v>
      </c>
      <c r="S115" s="12"/>
      <c r="T115" s="12"/>
      <c r="U115" s="117">
        <f>322.3402*Dimensions!$D$22</f>
        <v>351720.28588447295</v>
      </c>
      <c r="V115" s="117">
        <f>366.1821*Dimensions!$D$22</f>
        <v>399558.2086806941</v>
      </c>
      <c r="X115" s="18">
        <f t="shared" si="23"/>
        <v>351720.28588447295</v>
      </c>
      <c r="Z115" s="12">
        <f t="shared" si="24"/>
        <v>0</v>
      </c>
      <c r="AA115" s="12">
        <f t="shared" si="25"/>
        <v>399558.2086806941</v>
      </c>
      <c r="AC115" s="12">
        <f>IF(Dimensions!$D$52="y",Dimensions!$D$53,J115+M115+N115+X115+Z115+AA115)</f>
        <v>2755049.5951082646</v>
      </c>
      <c r="AD115" s="12">
        <f t="shared" si="29"/>
        <v>345520232.4246138</v>
      </c>
      <c r="AE115" s="12"/>
      <c r="AF115" s="9">
        <f t="shared" si="35"/>
        <v>0.4967400101689252</v>
      </c>
      <c r="AH115" s="18">
        <f>Dimensions!$D$49</f>
        <v>269000000</v>
      </c>
      <c r="AI115" s="18">
        <f>Dimensions!$D$50*AJ115</f>
        <v>5646315789.473684</v>
      </c>
      <c r="AJ115" s="17">
        <f t="shared" si="32"/>
        <v>15.68421052631579</v>
      </c>
      <c r="AK115" s="12">
        <f>IF(Dimensions!$D$63="y",Dimensions!$D$64,AH115+AI115)</f>
        <v>0</v>
      </c>
      <c r="AM115" s="105">
        <f>IF(Dimensions!$D$57="y",Dimensions!$D$58,Dimensions!$D$59-((Dimensions!$D$59-Dimensions!$D$60)/109)*(A115-1))</f>
        <v>63.066055045871565</v>
      </c>
      <c r="AN115" s="12">
        <f>LOOKUP(AM115,'Crush Energy'!$A$10:$A$509,'Crush Energy'!$G$10:$G$509)</f>
        <v>5945.520317023486</v>
      </c>
      <c r="AO115" s="12">
        <f>IF(Dimensions!$D$57="y",Dimensions!$D$61,AN115*M115)</f>
        <v>2588968831.268571</v>
      </c>
      <c r="AP115" s="12">
        <f t="shared" si="30"/>
        <v>147360529973.96893</v>
      </c>
    </row>
    <row r="116" spans="1:42" ht="10.5">
      <c r="A116" s="5">
        <f t="shared" si="26"/>
        <v>109</v>
      </c>
      <c r="B116" s="5">
        <f t="shared" si="27"/>
        <v>8</v>
      </c>
      <c r="C116" s="5">
        <f t="shared" si="21"/>
        <v>2</v>
      </c>
      <c r="E116" s="5">
        <v>15</v>
      </c>
      <c r="F116" s="5">
        <v>15</v>
      </c>
      <c r="H116" s="9">
        <v>100</v>
      </c>
      <c r="I116" s="98">
        <f t="shared" si="22"/>
        <v>1.774936061381074</v>
      </c>
      <c r="J116" s="12">
        <f>Dimensions!$D$40*I116</f>
        <v>1380478.3350866875</v>
      </c>
      <c r="K116" s="12">
        <f t="shared" si="28"/>
        <v>80222898.06058517</v>
      </c>
      <c r="M116" s="12">
        <f>LOOKUP(C116,'Concrete Mass'!$B$8:$B$123,'Concrete Mass'!$H$8:$H$123)</f>
        <v>435448.656</v>
      </c>
      <c r="N116" s="12">
        <f>LOOKUP(C116,'Concrete Mass'!$B$8:$B$123,'Concrete Mass'!$O$8:$O$123)</f>
        <v>199779.08065312495</v>
      </c>
      <c r="O116" s="12"/>
      <c r="P116" s="117">
        <f>75*Dimensions!$C$105*Dimensions!$D$23</f>
        <v>1058140.3595405968</v>
      </c>
      <c r="Q116" s="117">
        <f>75*Dimensions!$C$105*Dimensions!$D$23</f>
        <v>1058140.3595405968</v>
      </c>
      <c r="R116" s="117">
        <f>75*Dimensions!$C$105*Dimensions!$D$23</f>
        <v>1058140.3595405968</v>
      </c>
      <c r="S116" s="12"/>
      <c r="T116" s="12"/>
      <c r="U116" s="117">
        <f>322.3402*Dimensions!$D$22</f>
        <v>351720.28588447295</v>
      </c>
      <c r="V116" s="117">
        <f>366.1821*Dimensions!$D$22</f>
        <v>399558.2086806941</v>
      </c>
      <c r="X116" s="18">
        <f t="shared" si="23"/>
        <v>2468001.0049656667</v>
      </c>
      <c r="Z116" s="12">
        <f t="shared" si="24"/>
        <v>1058140.3595405968</v>
      </c>
      <c r="AA116" s="12">
        <f t="shared" si="25"/>
        <v>399558.2086806941</v>
      </c>
      <c r="AC116" s="12">
        <f>IF(Dimensions!$D$52="y",Dimensions!$D$53,J116+M116+N116+X116+Z116+AA116)</f>
        <v>5941405.64492677</v>
      </c>
      <c r="AD116" s="12">
        <f t="shared" si="29"/>
        <v>351461638.06954056</v>
      </c>
      <c r="AE116" s="12"/>
      <c r="AF116" s="9">
        <f t="shared" si="35"/>
        <v>0.2323487769708918</v>
      </c>
      <c r="AH116" s="18">
        <f>Dimensions!$D$49</f>
        <v>269000000</v>
      </c>
      <c r="AI116" s="18">
        <f>Dimensions!$D$50*AJ116</f>
        <v>5703157894.736842</v>
      </c>
      <c r="AJ116" s="17">
        <f t="shared" si="32"/>
        <v>15.842105263157894</v>
      </c>
      <c r="AK116" s="12">
        <f>IF(Dimensions!$D$63="y",Dimensions!$D$64,AH116+AI116)</f>
        <v>0</v>
      </c>
      <c r="AM116" s="105">
        <f>IF(Dimensions!$D$57="y",Dimensions!$D$58,Dimensions!$D$59-((Dimensions!$D$59-Dimensions!$D$60)/109)*(A116-1))</f>
        <v>61.53302752293578</v>
      </c>
      <c r="AN116" s="12">
        <f>LOOKUP(AM116,'Crush Energy'!$A$10:$A$509,'Crush Energy'!$G$10:$G$509)</f>
        <v>6140.455409384913</v>
      </c>
      <c r="AO116" s="12">
        <f>IF(Dimensions!$D$57="y",Dimensions!$D$61,AN116*M116)</f>
        <v>2673853055.2445903</v>
      </c>
      <c r="AP116" s="12">
        <f t="shared" si="30"/>
        <v>150034383029.21353</v>
      </c>
    </row>
    <row r="117" spans="1:42" ht="10.5">
      <c r="A117" s="13">
        <f t="shared" si="26"/>
        <v>110</v>
      </c>
      <c r="B117" s="13">
        <f t="shared" si="27"/>
        <v>7</v>
      </c>
      <c r="C117" s="13">
        <f t="shared" si="21"/>
        <v>1</v>
      </c>
      <c r="D117" s="13"/>
      <c r="E117" s="13">
        <v>14</v>
      </c>
      <c r="F117" s="13">
        <v>14</v>
      </c>
      <c r="G117" s="13"/>
      <c r="H117" s="51">
        <v>100</v>
      </c>
      <c r="I117" s="102">
        <f t="shared" si="22"/>
        <v>1.7902813299232736</v>
      </c>
      <c r="J117" s="15">
        <f>Dimensions!$D$40*I117</f>
        <v>1392413.3062834025</v>
      </c>
      <c r="K117" s="15">
        <f t="shared" si="28"/>
        <v>81615311.36686857</v>
      </c>
      <c r="L117" s="13"/>
      <c r="M117" s="15">
        <f>LOOKUP(C117,'Concrete Mass'!$B$8:$B$123,'Concrete Mass'!$H$8:$H$123)</f>
        <v>870897.312</v>
      </c>
      <c r="N117" s="15">
        <f>LOOKUP(C117,'Concrete Mass'!$B$8:$B$123,'Concrete Mass'!$O$8:$O$123)</f>
        <v>319646.5290449999</v>
      </c>
      <c r="O117" s="15"/>
      <c r="P117" s="15">
        <f>366.1821*Dimensions!$D$23</f>
        <v>1058140.3595405968</v>
      </c>
      <c r="Q117" s="15">
        <f>366.1821*Dimensions!$D$23</f>
        <v>1058140.3595405968</v>
      </c>
      <c r="R117" s="15">
        <f>366.1821*Dimensions!$D$23</f>
        <v>1058140.3595405968</v>
      </c>
      <c r="S117" s="15"/>
      <c r="T117" s="15"/>
      <c r="U117" s="15">
        <f>322.3402*Dimensions!$D$22</f>
        <v>351720.28588447295</v>
      </c>
      <c r="V117" s="15">
        <f>366.1821*Dimensions!$D$22</f>
        <v>399558.2086806941</v>
      </c>
      <c r="W117" s="13"/>
      <c r="X117" s="15">
        <f t="shared" si="23"/>
        <v>2468001.0049656667</v>
      </c>
      <c r="Y117" s="13"/>
      <c r="Z117" s="15">
        <f t="shared" si="24"/>
        <v>1058140.3595405968</v>
      </c>
      <c r="AA117" s="15">
        <f t="shared" si="25"/>
        <v>399558.2086806941</v>
      </c>
      <c r="AB117" s="13"/>
      <c r="AC117" s="15">
        <f>IF(Dimensions!$D$52="y",Dimensions!$D$53,J117+M117+N117+X117+Z117+AA117)</f>
        <v>6508656.72051536</v>
      </c>
      <c r="AD117" s="61">
        <f t="shared" si="29"/>
        <v>357970294.79005593</v>
      </c>
      <c r="AE117" s="15"/>
      <c r="AF117" s="51">
        <f t="shared" si="35"/>
        <v>0.21393251573623479</v>
      </c>
      <c r="AG117" s="13"/>
      <c r="AH117" s="15">
        <f>Dimensions!$D$49</f>
        <v>269000000</v>
      </c>
      <c r="AI117" s="15">
        <f>Dimensions!$D$50*AJ117</f>
        <v>5760000000</v>
      </c>
      <c r="AJ117" s="14">
        <f t="shared" si="32"/>
        <v>16</v>
      </c>
      <c r="AK117" s="15">
        <f>IF(Dimensions!$D$63="y",Dimensions!$D$64,AH117+AI117)</f>
        <v>0</v>
      </c>
      <c r="AL117" s="13"/>
      <c r="AM117" s="115">
        <f>IF(Dimensions!$D$57="y",Dimensions!$D$58,Dimensions!$D$59-((Dimensions!$D$59-Dimensions!$D$60)/109)*(A117-1))</f>
        <v>60</v>
      </c>
      <c r="AN117" s="15">
        <f>LOOKUP(AM117,'Crush Energy'!$A$10:$A$509,'Crush Energy'!$G$10:$G$509)</f>
        <v>6242.79633287466</v>
      </c>
      <c r="AO117" s="15">
        <f>IF(Dimensions!$D$57="y",Dimensions!$D$61,AN117*M117)</f>
        <v>5436834545.663999</v>
      </c>
      <c r="AP117" s="15">
        <f t="shared" si="30"/>
        <v>155471217574.87753</v>
      </c>
    </row>
    <row r="118" spans="1:42" ht="10.5">
      <c r="A118" s="80">
        <f t="shared" si="26"/>
        <v>111</v>
      </c>
      <c r="B118" s="80">
        <f t="shared" si="27"/>
        <v>6</v>
      </c>
      <c r="C118" s="80">
        <f t="shared" si="21"/>
        <v>0</v>
      </c>
      <c r="D118" s="80"/>
      <c r="E118" s="80">
        <v>14</v>
      </c>
      <c r="F118" s="80">
        <v>14</v>
      </c>
      <c r="G118" s="80"/>
      <c r="H118" s="82">
        <v>100</v>
      </c>
      <c r="I118" s="100">
        <f t="shared" si="22"/>
        <v>1.8056265984654731</v>
      </c>
      <c r="J118" s="81">
        <f>Dimensions!$D$40*I118</f>
        <v>1404348.2774801173</v>
      </c>
      <c r="K118" s="81">
        <f t="shared" si="28"/>
        <v>83019659.64434868</v>
      </c>
      <c r="L118" s="80"/>
      <c r="M118" s="81">
        <f>LOOKUP(C118,'Concrete Mass'!$B$8:$B$123,'Concrete Mass'!$H$8:$H$123)</f>
        <v>1306345.9679999999</v>
      </c>
      <c r="N118" s="81">
        <f>LOOKUP(C118,'Concrete Mass'!$B$8:$B$123,'Concrete Mass'!$O$8:$O$123)</f>
        <v>319646.5290449999</v>
      </c>
      <c r="O118" s="81"/>
      <c r="P118" s="114">
        <f>366.1821*Dimensions!$D$23</f>
        <v>1058140.3595405968</v>
      </c>
      <c r="Q118" s="113">
        <f>366.1821*Dimensions!$D$23</f>
        <v>1058140.3595405968</v>
      </c>
      <c r="R118" s="113">
        <f>366.1821*Dimensions!$D$23</f>
        <v>1058140.3595405968</v>
      </c>
      <c r="S118" s="81"/>
      <c r="T118" s="81"/>
      <c r="U118" s="114">
        <f>322.3402*Dimensions!$D$22</f>
        <v>351720.28588447295</v>
      </c>
      <c r="V118" s="113">
        <f>Dimensions!$D$41</f>
        <v>2267961.75</v>
      </c>
      <c r="W118" s="80"/>
      <c r="X118" s="81">
        <f t="shared" si="23"/>
        <v>2468001.0049656667</v>
      </c>
      <c r="Y118" s="80"/>
      <c r="Z118" s="81">
        <f t="shared" si="24"/>
        <v>1058140.3595405968</v>
      </c>
      <c r="AA118" s="81">
        <f t="shared" si="25"/>
        <v>2267961.75</v>
      </c>
      <c r="AB118" s="80"/>
      <c r="AC118" s="81">
        <f>IF(Dimensions!$D$52="y",Dimensions!$D$53,J118+M118+N118+X118+Z118+AA118)</f>
        <v>8824443.88903138</v>
      </c>
      <c r="AD118" s="81">
        <f t="shared" si="29"/>
        <v>366794738.6790873</v>
      </c>
      <c r="AE118" s="81"/>
      <c r="AF118" s="82">
        <f t="shared" si="35"/>
        <v>0.159142977749079</v>
      </c>
      <c r="AH118" s="18"/>
      <c r="AI118" s="18"/>
      <c r="AK118" s="12"/>
      <c r="AN118" s="12"/>
      <c r="AO118" s="12"/>
      <c r="AP118" s="18"/>
    </row>
    <row r="119" spans="1:37" ht="10.5">
      <c r="A119" s="80">
        <f t="shared" si="26"/>
        <v>112</v>
      </c>
      <c r="B119" s="80">
        <f t="shared" si="27"/>
        <v>5</v>
      </c>
      <c r="C119" s="80">
        <f t="shared" si="21"/>
        <v>-1</v>
      </c>
      <c r="D119" s="80"/>
      <c r="E119" s="80">
        <v>14</v>
      </c>
      <c r="F119" s="80">
        <v>14</v>
      </c>
      <c r="G119" s="80"/>
      <c r="H119" s="82">
        <v>100</v>
      </c>
      <c r="I119" s="100">
        <f t="shared" si="22"/>
        <v>1.8209718670076727</v>
      </c>
      <c r="J119" s="81">
        <f>Dimensions!$D$40*I119</f>
        <v>1416283.2486768323</v>
      </c>
      <c r="K119" s="81">
        <f t="shared" si="28"/>
        <v>84435942.89302552</v>
      </c>
      <c r="L119" s="80"/>
      <c r="M119" s="81">
        <f>LOOKUP(C119,'Concrete Mass'!$B$8:$B$123,'Concrete Mass'!$H$8:$H$123)</f>
        <v>1306345.9679999999</v>
      </c>
      <c r="N119" s="81">
        <f>LOOKUP(C119,'Concrete Mass'!$B$8:$B$123,'Concrete Mass'!$O$8:$O$123)</f>
        <v>319646.5290449999</v>
      </c>
      <c r="O119" s="81"/>
      <c r="P119" s="114">
        <f>366.1821*Dimensions!$D$23</f>
        <v>1058140.3595405968</v>
      </c>
      <c r="Q119" s="113">
        <f>366.1821*Dimensions!$D$23</f>
        <v>1058140.3595405968</v>
      </c>
      <c r="R119" s="113">
        <f>366.1821*Dimensions!$D$23</f>
        <v>1058140.3595405968</v>
      </c>
      <c r="S119" s="81"/>
      <c r="T119" s="81"/>
      <c r="U119" s="114">
        <f>322.3402*Dimensions!$D$22</f>
        <v>351720.28588447295</v>
      </c>
      <c r="V119" s="113">
        <f>Dimensions!$D$41</f>
        <v>2267961.75</v>
      </c>
      <c r="W119" s="80"/>
      <c r="X119" s="81">
        <f t="shared" si="23"/>
        <v>2468001.0049656667</v>
      </c>
      <c r="Y119" s="80"/>
      <c r="Z119" s="81">
        <f t="shared" si="24"/>
        <v>1058140.3595405968</v>
      </c>
      <c r="AA119" s="81">
        <f t="shared" si="25"/>
        <v>2267961.75</v>
      </c>
      <c r="AB119" s="80"/>
      <c r="AC119" s="81">
        <f>IF(Dimensions!$D$52="y",Dimensions!$D$53,J119+M119+N119+X119+Z119+AA119)</f>
        <v>8836378.860228095</v>
      </c>
      <c r="AD119" s="81">
        <f aca="true" t="shared" si="37" ref="AD119:AD124">AD118+AC119</f>
        <v>375631117.5393154</v>
      </c>
      <c r="AE119" s="80"/>
      <c r="AF119" s="82">
        <f t="shared" si="35"/>
        <v>0.16027869233305753</v>
      </c>
      <c r="AH119" s="18"/>
      <c r="AI119" s="18"/>
      <c r="AK119" s="12"/>
    </row>
    <row r="120" spans="1:37" ht="10.5">
      <c r="A120" s="80">
        <f t="shared" si="26"/>
        <v>113</v>
      </c>
      <c r="B120" s="80">
        <f t="shared" si="27"/>
        <v>4</v>
      </c>
      <c r="C120" s="80">
        <f t="shared" si="21"/>
        <v>-2</v>
      </c>
      <c r="D120" s="80"/>
      <c r="E120" s="80">
        <v>14</v>
      </c>
      <c r="F120" s="80">
        <v>14</v>
      </c>
      <c r="G120" s="80"/>
      <c r="H120" s="82">
        <v>100</v>
      </c>
      <c r="I120" s="100">
        <f t="shared" si="22"/>
        <v>1.8363171355498722</v>
      </c>
      <c r="J120" s="81">
        <f>Dimensions!$D$40*I120</f>
        <v>1428218.219873547</v>
      </c>
      <c r="K120" s="81">
        <f t="shared" si="28"/>
        <v>85864161.11289907</v>
      </c>
      <c r="L120" s="80"/>
      <c r="M120" s="81">
        <f>LOOKUP(C120,'Concrete Mass'!$B$8:$B$123,'Concrete Mass'!$H$8:$H$123)</f>
        <v>1306345.9679999999</v>
      </c>
      <c r="N120" s="81">
        <f>LOOKUP(C120,'Concrete Mass'!$B$8:$B$123,'Concrete Mass'!$O$8:$O$123)</f>
        <v>319646.5290449999</v>
      </c>
      <c r="O120" s="81"/>
      <c r="P120" s="114">
        <f>366.1821*Dimensions!$D$23</f>
        <v>1058140.3595405968</v>
      </c>
      <c r="Q120" s="113">
        <f>366.1821*Dimensions!$D$23</f>
        <v>1058140.3595405968</v>
      </c>
      <c r="R120" s="113">
        <f>366.1821*Dimensions!$D$23</f>
        <v>1058140.3595405968</v>
      </c>
      <c r="S120" s="81"/>
      <c r="T120" s="81"/>
      <c r="U120" s="114">
        <f>322.3402*Dimensions!$D$22</f>
        <v>351720.28588447295</v>
      </c>
      <c r="V120" s="113">
        <f>Dimensions!$D$41</f>
        <v>2267961.75</v>
      </c>
      <c r="W120" s="80"/>
      <c r="X120" s="81">
        <f t="shared" si="23"/>
        <v>2468001.0049656667</v>
      </c>
      <c r="Y120" s="80"/>
      <c r="Z120" s="81">
        <f t="shared" si="24"/>
        <v>1058140.3595405968</v>
      </c>
      <c r="AA120" s="81">
        <f t="shared" si="25"/>
        <v>2267961.75</v>
      </c>
      <c r="AB120" s="80"/>
      <c r="AC120" s="81">
        <f>IF(Dimensions!$D$52="y",Dimensions!$D$53,J120+M120+N120+X120+Z120+AA120)</f>
        <v>8848313.83142481</v>
      </c>
      <c r="AD120" s="81">
        <f t="shared" si="37"/>
        <v>384479431.37074023</v>
      </c>
      <c r="AE120" s="80"/>
      <c r="AF120" s="82">
        <f t="shared" si="35"/>
        <v>0.1614113431195474</v>
      </c>
      <c r="AH120" s="18"/>
      <c r="AI120" s="18"/>
      <c r="AK120" s="12"/>
    </row>
    <row r="121" spans="1:37" ht="10.5">
      <c r="A121" s="80">
        <f t="shared" si="26"/>
        <v>114</v>
      </c>
      <c r="B121" s="80">
        <f t="shared" si="27"/>
        <v>3</v>
      </c>
      <c r="C121" s="80">
        <f t="shared" si="21"/>
        <v>-3</v>
      </c>
      <c r="D121" s="80"/>
      <c r="E121" s="80">
        <v>14</v>
      </c>
      <c r="F121" s="80">
        <v>14</v>
      </c>
      <c r="G121" s="80"/>
      <c r="H121" s="82">
        <v>100</v>
      </c>
      <c r="I121" s="100">
        <f t="shared" si="22"/>
        <v>1.8516624040920715</v>
      </c>
      <c r="J121" s="81">
        <f>Dimensions!$D$40*I121</f>
        <v>1440153.1910702619</v>
      </c>
      <c r="K121" s="81">
        <f t="shared" si="28"/>
        <v>87304314.30396932</v>
      </c>
      <c r="L121" s="80"/>
      <c r="M121" s="81">
        <f>LOOKUP(C121,'Concrete Mass'!$B$8:$B$123,'Concrete Mass'!$H$8:$H$123)</f>
        <v>1306345.9679999999</v>
      </c>
      <c r="N121" s="81">
        <f>LOOKUP(C121,'Concrete Mass'!$B$8:$B$123,'Concrete Mass'!$O$8:$O$123)</f>
        <v>319646.5290449999</v>
      </c>
      <c r="O121" s="81"/>
      <c r="P121" s="114">
        <f>366.1821*Dimensions!$D$23</f>
        <v>1058140.3595405968</v>
      </c>
      <c r="Q121" s="113">
        <f>366.1821*Dimensions!$D$23</f>
        <v>1058140.3595405968</v>
      </c>
      <c r="R121" s="113">
        <f>366.1821*Dimensions!$D$23</f>
        <v>1058140.3595405968</v>
      </c>
      <c r="S121" s="81"/>
      <c r="T121" s="81"/>
      <c r="U121" s="114">
        <f>322.3402*Dimensions!$D$22</f>
        <v>351720.28588447295</v>
      </c>
      <c r="V121" s="113">
        <f>Dimensions!$D$41</f>
        <v>2267961.75</v>
      </c>
      <c r="W121" s="80"/>
      <c r="X121" s="81">
        <f t="shared" si="23"/>
        <v>2468001.0049656667</v>
      </c>
      <c r="Y121" s="80"/>
      <c r="Z121" s="81">
        <f t="shared" si="24"/>
        <v>1058140.3595405968</v>
      </c>
      <c r="AA121" s="81">
        <f t="shared" si="25"/>
        <v>2267961.75</v>
      </c>
      <c r="AB121" s="80"/>
      <c r="AC121" s="81">
        <f>IF(Dimensions!$D$52="y",Dimensions!$D$53,J121+M121+N121+X121+Z121+AA121)</f>
        <v>8860248.802621525</v>
      </c>
      <c r="AD121" s="81">
        <f t="shared" si="37"/>
        <v>393339680.1733618</v>
      </c>
      <c r="AE121" s="80"/>
      <c r="AF121" s="82">
        <f t="shared" si="35"/>
        <v>0.16254094248957848</v>
      </c>
      <c r="AH121" s="18"/>
      <c r="AI121" s="18"/>
      <c r="AK121" s="12"/>
    </row>
    <row r="122" spans="1:37" ht="10.5">
      <c r="A122" s="80">
        <f t="shared" si="26"/>
        <v>115</v>
      </c>
      <c r="B122" s="80">
        <f t="shared" si="27"/>
        <v>2</v>
      </c>
      <c r="C122" s="80">
        <f t="shared" si="21"/>
        <v>-4</v>
      </c>
      <c r="D122" s="80"/>
      <c r="E122" s="80">
        <v>14</v>
      </c>
      <c r="F122" s="80">
        <v>14</v>
      </c>
      <c r="G122" s="80"/>
      <c r="H122" s="82">
        <v>100</v>
      </c>
      <c r="I122" s="100">
        <f t="shared" si="22"/>
        <v>1.867007672634271</v>
      </c>
      <c r="J122" s="81">
        <f>Dimensions!$D$40*I122</f>
        <v>1452088.1622669767</v>
      </c>
      <c r="K122" s="81">
        <f t="shared" si="28"/>
        <v>88756402.4662363</v>
      </c>
      <c r="L122" s="80"/>
      <c r="M122" s="81">
        <f>LOOKUP(C122,'Concrete Mass'!$B$8:$B$123,'Concrete Mass'!$H$8:$H$123)</f>
        <v>1306345.9679999999</v>
      </c>
      <c r="N122" s="81">
        <f>LOOKUP(C122,'Concrete Mass'!$B$8:$B$123,'Concrete Mass'!$O$8:$O$123)</f>
        <v>319646.5290449999</v>
      </c>
      <c r="O122" s="81"/>
      <c r="P122" s="114">
        <f>366.1821*Dimensions!$D$23</f>
        <v>1058140.3595405968</v>
      </c>
      <c r="Q122" s="113">
        <f>366.1821*Dimensions!$D$23</f>
        <v>1058140.3595405968</v>
      </c>
      <c r="R122" s="113">
        <f>366.1821*Dimensions!$D$23</f>
        <v>1058140.3595405968</v>
      </c>
      <c r="S122" s="81"/>
      <c r="T122" s="81"/>
      <c r="U122" s="114">
        <f>322.3402*Dimensions!$D$22</f>
        <v>351720.28588447295</v>
      </c>
      <c r="V122" s="113">
        <f>Dimensions!$D$41</f>
        <v>2267961.75</v>
      </c>
      <c r="W122" s="80"/>
      <c r="X122" s="81">
        <f t="shared" si="23"/>
        <v>2468001.0049656667</v>
      </c>
      <c r="Y122" s="80"/>
      <c r="Z122" s="81">
        <f t="shared" si="24"/>
        <v>1058140.3595405968</v>
      </c>
      <c r="AA122" s="81">
        <f t="shared" si="25"/>
        <v>2267961.75</v>
      </c>
      <c r="AB122" s="80"/>
      <c r="AC122" s="81">
        <f>IF(Dimensions!$D$52="y",Dimensions!$D$53,J122+M122+N122+X122+Z122+AA122)</f>
        <v>8872183.77381824</v>
      </c>
      <c r="AD122" s="81">
        <f t="shared" si="37"/>
        <v>402211863.94718003</v>
      </c>
      <c r="AE122" s="80"/>
      <c r="AF122" s="82">
        <f t="shared" si="35"/>
        <v>0.1636675027575601</v>
      </c>
      <c r="AH122" s="18"/>
      <c r="AI122" s="18"/>
      <c r="AK122" s="12"/>
    </row>
    <row r="123" spans="1:37" ht="10.5">
      <c r="A123" s="80">
        <f t="shared" si="26"/>
        <v>116</v>
      </c>
      <c r="B123" s="80">
        <f t="shared" si="27"/>
        <v>1</v>
      </c>
      <c r="C123" s="80">
        <f t="shared" si="21"/>
        <v>-5</v>
      </c>
      <c r="D123" s="80"/>
      <c r="E123" s="80">
        <v>14</v>
      </c>
      <c r="F123" s="80">
        <v>14</v>
      </c>
      <c r="G123" s="80"/>
      <c r="H123" s="82">
        <v>100</v>
      </c>
      <c r="I123" s="100">
        <f t="shared" si="22"/>
        <v>1.8823529411764706</v>
      </c>
      <c r="J123" s="81">
        <f>Dimensions!$D$40*I123</f>
        <v>1464023.1334636917</v>
      </c>
      <c r="K123" s="81">
        <f t="shared" si="28"/>
        <v>90220425.59969999</v>
      </c>
      <c r="L123" s="80"/>
      <c r="M123" s="81">
        <f>LOOKUP(C123,'Concrete Mass'!$B$8:$B$123,'Concrete Mass'!$H$8:$H$123)</f>
        <v>1306345.9679999999</v>
      </c>
      <c r="N123" s="81">
        <f>LOOKUP(C123,'Concrete Mass'!$B$8:$B$123,'Concrete Mass'!$O$8:$O$123)</f>
        <v>319646.5290449999</v>
      </c>
      <c r="O123" s="81"/>
      <c r="P123" s="114">
        <f>366.1821*Dimensions!$D$23</f>
        <v>1058140.3595405968</v>
      </c>
      <c r="Q123" s="113">
        <f>366.1821*Dimensions!$D$23</f>
        <v>1058140.3595405968</v>
      </c>
      <c r="R123" s="113">
        <f>366.1821*Dimensions!$D$23</f>
        <v>1058140.3595405968</v>
      </c>
      <c r="S123" s="81"/>
      <c r="T123" s="81"/>
      <c r="U123" s="114">
        <f>322.3402*Dimensions!$D$22</f>
        <v>351720.28588447295</v>
      </c>
      <c r="V123" s="113">
        <f>Dimensions!$D$41</f>
        <v>2267961.75</v>
      </c>
      <c r="W123" s="80"/>
      <c r="X123" s="81">
        <f t="shared" si="23"/>
        <v>2468001.0049656667</v>
      </c>
      <c r="Y123" s="80"/>
      <c r="Z123" s="81">
        <f t="shared" si="24"/>
        <v>1058140.3595405968</v>
      </c>
      <c r="AA123" s="81">
        <f t="shared" si="25"/>
        <v>2267961.75</v>
      </c>
      <c r="AB123" s="80"/>
      <c r="AC123" s="81">
        <f>IF(Dimensions!$D$52="y",Dimensions!$D$53,J123+M123+N123+X123+Z123+AA123)</f>
        <v>8884118.745014954</v>
      </c>
      <c r="AD123" s="81">
        <f t="shared" si="37"/>
        <v>411095982.692195</v>
      </c>
      <c r="AE123" s="80"/>
      <c r="AF123" s="82">
        <f t="shared" si="35"/>
        <v>0.16479103617172863</v>
      </c>
      <c r="AH123" s="18"/>
      <c r="AI123" s="18"/>
      <c r="AK123" s="12"/>
    </row>
    <row r="124" spans="1:32" ht="10.5">
      <c r="A124" s="20">
        <f t="shared" si="26"/>
        <v>117</v>
      </c>
      <c r="B124" s="20">
        <f t="shared" si="27"/>
        <v>0</v>
      </c>
      <c r="C124" s="20">
        <f t="shared" si="21"/>
        <v>-6</v>
      </c>
      <c r="D124" s="20"/>
      <c r="E124" s="20"/>
      <c r="F124" s="20"/>
      <c r="G124" s="20"/>
      <c r="H124" s="83"/>
      <c r="I124" s="101"/>
      <c r="J124" s="42">
        <f>549*Dimensions!C103</f>
        <v>498044.40030000004</v>
      </c>
      <c r="K124" s="42">
        <f t="shared" si="28"/>
        <v>90718469.99999999</v>
      </c>
      <c r="L124" s="20"/>
      <c r="M124" s="42">
        <f>2670*Dimensions!C103</f>
        <v>2422183.149</v>
      </c>
      <c r="N124" s="42">
        <f>1555*Dimensions!C103</f>
        <v>1410672.2085</v>
      </c>
      <c r="O124" s="42"/>
      <c r="P124" s="42">
        <v>0</v>
      </c>
      <c r="Q124" s="42">
        <v>0</v>
      </c>
      <c r="R124" s="42">
        <v>0</v>
      </c>
      <c r="S124" s="42"/>
      <c r="T124" s="42"/>
      <c r="U124" s="42">
        <v>0</v>
      </c>
      <c r="V124" s="42">
        <v>0</v>
      </c>
      <c r="W124" s="20"/>
      <c r="X124" s="42">
        <v>0</v>
      </c>
      <c r="Y124" s="20"/>
      <c r="Z124" s="42">
        <v>0</v>
      </c>
      <c r="AA124" s="42">
        <v>0</v>
      </c>
      <c r="AB124" s="20"/>
      <c r="AC124" s="42">
        <f>J124+M124+N124+X124+Z124+AA124</f>
        <v>4330899.7578</v>
      </c>
      <c r="AD124" s="103">
        <f t="shared" si="37"/>
        <v>415426882.449995</v>
      </c>
      <c r="AE124" s="20"/>
      <c r="AF124" s="83">
        <f t="shared" si="35"/>
        <v>0.11499790532048598</v>
      </c>
    </row>
    <row r="125" spans="26:32" ht="10.5">
      <c r="Z125" s="5"/>
      <c r="AF125" s="9"/>
    </row>
    <row r="126" spans="17:32" ht="10.5">
      <c r="Q126" s="18"/>
      <c r="R126" s="18"/>
      <c r="S126" s="16"/>
      <c r="T126" s="16"/>
      <c r="U126" s="18"/>
      <c r="V126" s="18"/>
      <c r="W126" s="16"/>
      <c r="X126" s="18"/>
      <c r="Y126" s="16"/>
      <c r="Z126" s="18"/>
      <c r="AA126" s="18"/>
      <c r="AF126" s="9"/>
    </row>
    <row r="127" spans="17:32" ht="10.5">
      <c r="Q127" s="16"/>
      <c r="R127" s="16"/>
      <c r="S127" s="16"/>
      <c r="T127" s="16"/>
      <c r="U127" s="18"/>
      <c r="V127" s="16"/>
      <c r="W127" s="16"/>
      <c r="X127" s="16"/>
      <c r="Y127" s="16"/>
      <c r="Z127" s="16"/>
      <c r="AA127" s="16"/>
      <c r="AF127" s="9"/>
    </row>
    <row r="128" spans="17:32" ht="10.5">
      <c r="Q128" s="16"/>
      <c r="R128" s="16"/>
      <c r="S128" s="16"/>
      <c r="T128" s="16"/>
      <c r="U128" s="16"/>
      <c r="V128" s="18"/>
      <c r="W128" s="16"/>
      <c r="X128" s="16"/>
      <c r="Y128" s="16"/>
      <c r="Z128" s="18"/>
      <c r="AA128" s="16"/>
      <c r="AF128" s="9"/>
    </row>
    <row r="129" spans="17:32" ht="10.5">
      <c r="Q129" s="16"/>
      <c r="R129" s="16"/>
      <c r="S129" s="16"/>
      <c r="T129" s="16"/>
      <c r="U129" s="16"/>
      <c r="V129" s="16"/>
      <c r="W129" s="16"/>
      <c r="X129" s="16"/>
      <c r="Y129" s="16"/>
      <c r="Z129" s="16"/>
      <c r="AA129" s="16"/>
      <c r="AF129" s="9"/>
    </row>
    <row r="130" spans="17:32" ht="10.5">
      <c r="Q130" s="16"/>
      <c r="R130" s="16"/>
      <c r="S130" s="16"/>
      <c r="T130" s="16"/>
      <c r="U130" s="16"/>
      <c r="V130" s="16"/>
      <c r="W130" s="16"/>
      <c r="X130" s="16"/>
      <c r="Y130" s="16"/>
      <c r="Z130" s="16"/>
      <c r="AA130" s="16"/>
      <c r="AF130" s="9"/>
    </row>
    <row r="131" spans="17:32" ht="10.5">
      <c r="Q131" s="16"/>
      <c r="R131" s="16"/>
      <c r="S131" s="16"/>
      <c r="T131" s="16"/>
      <c r="U131" s="16"/>
      <c r="V131" s="18"/>
      <c r="W131" s="16"/>
      <c r="X131" s="18"/>
      <c r="Y131" s="16"/>
      <c r="Z131" s="16"/>
      <c r="AA131" s="16"/>
      <c r="AF131" s="9"/>
    </row>
    <row r="132" spans="17:32" ht="10.5">
      <c r="Q132" s="16"/>
      <c r="R132" s="16"/>
      <c r="S132" s="16"/>
      <c r="T132" s="16"/>
      <c r="U132" s="16"/>
      <c r="V132" s="16"/>
      <c r="W132" s="16"/>
      <c r="X132" s="16"/>
      <c r="Y132" s="16"/>
      <c r="Z132" s="16"/>
      <c r="AA132" s="16"/>
      <c r="AF132" s="9"/>
    </row>
    <row r="133" spans="17:32" ht="10.5">
      <c r="Q133" s="16"/>
      <c r="R133" s="16"/>
      <c r="S133" s="16"/>
      <c r="T133" s="16"/>
      <c r="U133" s="16"/>
      <c r="V133" s="16"/>
      <c r="W133" s="16"/>
      <c r="X133" s="18"/>
      <c r="Y133" s="16"/>
      <c r="Z133" s="16"/>
      <c r="AA133" s="16"/>
      <c r="AF133" s="9"/>
    </row>
    <row r="134" spans="26:32" ht="10.5">
      <c r="Z134" s="5"/>
      <c r="AF134" s="9"/>
    </row>
    <row r="135" spans="26:32" ht="10.5">
      <c r="Z135" s="5"/>
      <c r="AF135" s="9"/>
    </row>
    <row r="136" spans="26:32" ht="10.5">
      <c r="Z136" s="5"/>
      <c r="AF136" s="9"/>
    </row>
    <row r="137" spans="26:32" ht="10.5">
      <c r="Z137" s="5"/>
      <c r="AF137" s="9"/>
    </row>
    <row r="138" spans="26:32" ht="10.5">
      <c r="Z138" s="5"/>
      <c r="AF138" s="9"/>
    </row>
    <row r="139" spans="26:32" ht="10.5">
      <c r="Z139" s="5"/>
      <c r="AF139" s="9"/>
    </row>
    <row r="140" spans="26:32" ht="10.5">
      <c r="Z140" s="5"/>
      <c r="AF140" s="9"/>
    </row>
    <row r="141" spans="26:32" ht="10.5">
      <c r="Z141" s="5"/>
      <c r="AF141" s="9"/>
    </row>
    <row r="142" spans="26:32" ht="10.5">
      <c r="Z142" s="5"/>
      <c r="AF142" s="9"/>
    </row>
    <row r="143" spans="26:32" ht="10.5">
      <c r="Z143" s="5"/>
      <c r="AF143" s="9"/>
    </row>
    <row r="144" spans="26:32" ht="10.5">
      <c r="Z144" s="5"/>
      <c r="AF144" s="9"/>
    </row>
    <row r="145" spans="26:32" ht="10.5">
      <c r="Z145" s="5"/>
      <c r="AF145" s="9"/>
    </row>
    <row r="146" spans="26:32" ht="10.5">
      <c r="Z146" s="5"/>
      <c r="AF146" s="9"/>
    </row>
    <row r="147" spans="26:32" ht="10.5">
      <c r="Z147" s="5"/>
      <c r="AF147" s="9"/>
    </row>
    <row r="148" spans="26:32" ht="10.5">
      <c r="Z148" s="5"/>
      <c r="AF148" s="9"/>
    </row>
    <row r="149" spans="26:32" ht="10.5">
      <c r="Z149" s="5"/>
      <c r="AF149" s="9"/>
    </row>
    <row r="150" spans="26:32" ht="10.5">
      <c r="Z150" s="5"/>
      <c r="AF150" s="9"/>
    </row>
    <row r="151" spans="26:32" ht="10.5">
      <c r="Z151" s="5"/>
      <c r="AF151" s="9"/>
    </row>
    <row r="152" spans="26:32" ht="10.5">
      <c r="Z152" s="5"/>
      <c r="AF152" s="9"/>
    </row>
    <row r="153" spans="26:32" ht="10.5">
      <c r="Z153" s="5"/>
      <c r="AF153" s="9"/>
    </row>
    <row r="154" spans="26:32" ht="10.5">
      <c r="Z154" s="5"/>
      <c r="AF154" s="9"/>
    </row>
    <row r="155" spans="26:32" ht="10.5">
      <c r="Z155" s="5"/>
      <c r="AF155" s="9"/>
    </row>
    <row r="156" spans="26:32" ht="10.5">
      <c r="Z156" s="5"/>
      <c r="AF156" s="9"/>
    </row>
    <row r="157" spans="26:32" ht="10.5">
      <c r="Z157" s="5"/>
      <c r="AF157" s="9"/>
    </row>
    <row r="158" spans="26:32" ht="10.5">
      <c r="Z158" s="5"/>
      <c r="AF158" s="9"/>
    </row>
    <row r="159" spans="26:32" ht="10.5">
      <c r="Z159" s="5"/>
      <c r="AF159" s="9"/>
    </row>
    <row r="160" spans="26:32" ht="10.5">
      <c r="Z160" s="5"/>
      <c r="AF160" s="9"/>
    </row>
    <row r="161" spans="26:32" ht="10.5">
      <c r="Z161" s="5"/>
      <c r="AF161" s="9"/>
    </row>
    <row r="162" spans="26:32" ht="10.5">
      <c r="Z162" s="5"/>
      <c r="AF162" s="9"/>
    </row>
    <row r="163" spans="26:32" ht="10.5">
      <c r="Z163" s="5"/>
      <c r="AF163" s="9"/>
    </row>
    <row r="164" spans="26:32" ht="10.5">
      <c r="Z164" s="5"/>
      <c r="AF164" s="9"/>
    </row>
    <row r="165" spans="26:32" ht="10.5">
      <c r="Z165" s="5"/>
      <c r="AF165" s="9"/>
    </row>
    <row r="166" spans="26:32" ht="10.5">
      <c r="Z166" s="5"/>
      <c r="AF166" s="9"/>
    </row>
    <row r="167" spans="26:32" ht="10.5">
      <c r="Z167" s="5"/>
      <c r="AF167" s="9"/>
    </row>
    <row r="168" spans="26:32" ht="10.5">
      <c r="Z168" s="5"/>
      <c r="AF168" s="9"/>
    </row>
    <row r="169" spans="26:32" ht="10.5">
      <c r="Z169" s="5"/>
      <c r="AF169" s="9"/>
    </row>
    <row r="170" spans="26:32" ht="10.5">
      <c r="Z170" s="5"/>
      <c r="AF170" s="9"/>
    </row>
    <row r="171" spans="26:32" ht="10.5">
      <c r="Z171" s="5"/>
      <c r="AF171" s="9"/>
    </row>
    <row r="172" spans="26:32" ht="10.5">
      <c r="Z172" s="5"/>
      <c r="AF172" s="9"/>
    </row>
    <row r="173" spans="26:32" ht="10.5">
      <c r="Z173" s="5"/>
      <c r="AF173" s="9"/>
    </row>
    <row r="174" spans="26:32" ht="10.5">
      <c r="Z174" s="5"/>
      <c r="AF174" s="9"/>
    </row>
    <row r="175" spans="26:32" ht="10.5">
      <c r="Z175" s="5"/>
      <c r="AF175" s="9"/>
    </row>
    <row r="176" spans="26:32" ht="10.5">
      <c r="Z176" s="5"/>
      <c r="AF176" s="9"/>
    </row>
    <row r="177" spans="26:32" ht="10.5">
      <c r="Z177" s="5"/>
      <c r="AF177" s="9"/>
    </row>
    <row r="178" spans="26:32" ht="10.5">
      <c r="Z178" s="5"/>
      <c r="AF178" s="9"/>
    </row>
    <row r="179" spans="26:32" ht="10.5">
      <c r="Z179" s="5"/>
      <c r="AF179" s="9"/>
    </row>
    <row r="180" spans="26:32" ht="10.5">
      <c r="Z180" s="5"/>
      <c r="AF180" s="9"/>
    </row>
    <row r="181" spans="26:32" ht="10.5">
      <c r="Z181" s="5"/>
      <c r="AF181" s="9"/>
    </row>
    <row r="182" spans="26:32" ht="10.5">
      <c r="Z182" s="5"/>
      <c r="AF182" s="9"/>
    </row>
    <row r="183" spans="26:32" ht="10.5">
      <c r="Z183" s="5"/>
      <c r="AF183" s="9"/>
    </row>
    <row r="184" spans="26:32" ht="10.5">
      <c r="Z184" s="5"/>
      <c r="AF184" s="9"/>
    </row>
    <row r="185" spans="26:32" ht="10.5">
      <c r="Z185" s="5"/>
      <c r="AF185" s="9"/>
    </row>
    <row r="186" spans="26:32" ht="10.5">
      <c r="Z186" s="5"/>
      <c r="AF186" s="9"/>
    </row>
    <row r="187" spans="26:32" ht="10.5">
      <c r="Z187" s="5"/>
      <c r="AF187" s="9"/>
    </row>
    <row r="188" spans="26:32" ht="10.5">
      <c r="Z188" s="5"/>
      <c r="AF188" s="9"/>
    </row>
    <row r="189" spans="26:32" ht="10.5">
      <c r="Z189" s="5"/>
      <c r="AF189" s="9"/>
    </row>
    <row r="190" spans="26:32" ht="10.5">
      <c r="Z190" s="5"/>
      <c r="AF190" s="9"/>
    </row>
    <row r="191" spans="26:32" ht="10.5">
      <c r="Z191" s="5"/>
      <c r="AF191" s="9"/>
    </row>
    <row r="192" spans="26:32" ht="10.5">
      <c r="Z192" s="5"/>
      <c r="AF192" s="9"/>
    </row>
    <row r="193" spans="26:32" ht="10.5">
      <c r="Z193" s="5"/>
      <c r="AF193" s="9"/>
    </row>
    <row r="194" spans="26:32" ht="10.5">
      <c r="Z194" s="5"/>
      <c r="AF194" s="9"/>
    </row>
    <row r="195" spans="26:32" ht="10.5">
      <c r="Z195" s="5"/>
      <c r="AF195" s="9"/>
    </row>
    <row r="196" spans="26:32" ht="10.5">
      <c r="Z196" s="5"/>
      <c r="AF196" s="9"/>
    </row>
    <row r="197" spans="26:32" ht="10.5">
      <c r="Z197" s="5"/>
      <c r="AF197" s="9"/>
    </row>
    <row r="198" spans="26:32" ht="10.5">
      <c r="Z198" s="5"/>
      <c r="AF198" s="9"/>
    </row>
    <row r="199" spans="26:32" ht="10.5">
      <c r="Z199" s="5"/>
      <c r="AF199" s="9"/>
    </row>
    <row r="200" spans="26:32" ht="10.5">
      <c r="Z200" s="5"/>
      <c r="AF200" s="9"/>
    </row>
    <row r="201" spans="26:32" ht="10.5">
      <c r="Z201" s="5"/>
      <c r="AF201" s="9"/>
    </row>
    <row r="202" spans="26:32" ht="10.5">
      <c r="Z202" s="5"/>
      <c r="AF202" s="9"/>
    </row>
    <row r="203" spans="26:32" ht="10.5">
      <c r="Z203" s="5"/>
      <c r="AF203" s="9"/>
    </row>
    <row r="204" spans="26:32" ht="10.5">
      <c r="Z204" s="5"/>
      <c r="AF204" s="9"/>
    </row>
    <row r="205" spans="26:32" ht="10.5">
      <c r="Z205" s="5"/>
      <c r="AF205" s="9"/>
    </row>
    <row r="206" spans="26:32" ht="10.5">
      <c r="Z206" s="5"/>
      <c r="AF206" s="9"/>
    </row>
    <row r="207" spans="26:32" ht="10.5">
      <c r="Z207" s="5"/>
      <c r="AF207" s="9"/>
    </row>
    <row r="208" spans="26:32" ht="10.5">
      <c r="Z208" s="5"/>
      <c r="AF208" s="9"/>
    </row>
    <row r="209" spans="26:32" ht="10.5">
      <c r="Z209" s="5"/>
      <c r="AF209" s="9"/>
    </row>
    <row r="210" spans="26:32" ht="10.5">
      <c r="Z210" s="5"/>
      <c r="AF210" s="9"/>
    </row>
  </sheetData>
  <mergeCells count="10">
    <mergeCell ref="AH3:AK3"/>
    <mergeCell ref="AM3:AP3"/>
    <mergeCell ref="A3:C3"/>
    <mergeCell ref="I3:K3"/>
    <mergeCell ref="P3:R3"/>
    <mergeCell ref="T3:V3"/>
    <mergeCell ref="E3:F3"/>
    <mergeCell ref="M3:N3"/>
    <mergeCell ref="Z3:AA3"/>
    <mergeCell ref="AC3:AF3"/>
  </mergeCells>
  <printOptions horizontalCentered="1" verticalCentered="1"/>
  <pageMargins left="0.3937007874015748" right="0.3937007874015748" top="0.7874015748031497" bottom="0.7874015748031497" header="0" footer="0"/>
  <pageSetup fitToWidth="2" fitToHeight="1" horizontalDpi="300" verticalDpi="300" orientation="portrait" paperSize="9" scale="57" r:id="rId3"/>
  <legacyDrawing r:id="rId2"/>
</worksheet>
</file>

<file path=xl/worksheets/sheet4.xml><?xml version="1.0" encoding="utf-8"?>
<worksheet xmlns="http://schemas.openxmlformats.org/spreadsheetml/2006/main" xmlns:r="http://schemas.openxmlformats.org/officeDocument/2006/relationships">
  <sheetPr codeName="Sheet6">
    <pageSetUpPr fitToPage="1"/>
  </sheetPr>
  <dimension ref="A1:T123"/>
  <sheetViews>
    <sheetView workbookViewId="0" topLeftCell="A1">
      <selection activeCell="A1" sqref="A1"/>
    </sheetView>
  </sheetViews>
  <sheetFormatPr defaultColWidth="9.140625" defaultRowHeight="12.75"/>
  <cols>
    <col min="1" max="2" width="4.7109375" style="5" customWidth="1"/>
    <col min="3" max="3" width="1.7109375" style="5" customWidth="1"/>
    <col min="4" max="4" width="7.00390625" style="11" bestFit="1" customWidth="1"/>
    <col min="5" max="5" width="10.00390625" style="3" bestFit="1" customWidth="1"/>
    <col min="6" max="6" width="9.00390625" style="3" bestFit="1" customWidth="1"/>
    <col min="7" max="7" width="10.00390625" style="3" bestFit="1" customWidth="1"/>
    <col min="8" max="9" width="9.00390625" style="4" bestFit="1" customWidth="1"/>
    <col min="10" max="10" width="1.7109375" style="1" customWidth="1"/>
    <col min="11" max="11" width="7.00390625" style="3" bestFit="1" customWidth="1"/>
    <col min="12" max="12" width="9.00390625" style="3" bestFit="1" customWidth="1"/>
    <col min="13" max="13" width="9.421875" style="3" customWidth="1"/>
    <col min="14" max="14" width="10.00390625" style="3" bestFit="1" customWidth="1"/>
    <col min="15" max="16" width="9.00390625" style="4" bestFit="1" customWidth="1"/>
    <col min="17" max="17" width="1.7109375" style="1" customWidth="1"/>
    <col min="18" max="19" width="9.00390625" style="4" bestFit="1" customWidth="1"/>
    <col min="20" max="16384" width="9.140625" style="1" customWidth="1"/>
  </cols>
  <sheetData>
    <row r="1" spans="1:14" s="22" customFormat="1" ht="15">
      <c r="A1" s="22" t="s">
        <v>39</v>
      </c>
      <c r="D1" s="129"/>
      <c r="E1" s="129"/>
      <c r="F1" s="129"/>
      <c r="G1" s="129"/>
      <c r="K1" s="129"/>
      <c r="L1" s="129"/>
      <c r="M1" s="129"/>
      <c r="N1" s="129"/>
    </row>
    <row r="2" spans="4:19" s="22" customFormat="1" ht="15">
      <c r="D2" s="129"/>
      <c r="E2" s="129"/>
      <c r="F2" s="129"/>
      <c r="G2" s="129"/>
      <c r="K2" s="129"/>
      <c r="L2" s="129"/>
      <c r="M2" s="129"/>
      <c r="N2" s="129"/>
      <c r="R2" s="23"/>
      <c r="S2" s="23"/>
    </row>
    <row r="3" spans="1:19" s="22" customFormat="1" ht="15">
      <c r="A3" s="152" t="s">
        <v>40</v>
      </c>
      <c r="B3" s="152"/>
      <c r="D3" s="152" t="s">
        <v>57</v>
      </c>
      <c r="E3" s="152"/>
      <c r="F3" s="152"/>
      <c r="G3" s="152"/>
      <c r="H3" s="152"/>
      <c r="I3" s="152"/>
      <c r="K3" s="152" t="s">
        <v>58</v>
      </c>
      <c r="L3" s="152"/>
      <c r="M3" s="152"/>
      <c r="N3" s="152"/>
      <c r="O3" s="152"/>
      <c r="P3" s="152"/>
      <c r="R3" s="153" t="s">
        <v>77</v>
      </c>
      <c r="S3" s="153"/>
    </row>
    <row r="4" ht="10.5"/>
    <row r="5" spans="1:19" s="5" customFormat="1" ht="10.5">
      <c r="A5" s="5" t="s">
        <v>80</v>
      </c>
      <c r="B5" s="5" t="s">
        <v>81</v>
      </c>
      <c r="D5" s="11" t="s">
        <v>143</v>
      </c>
      <c r="E5" s="11" t="s">
        <v>64</v>
      </c>
      <c r="F5" s="11" t="s">
        <v>144</v>
      </c>
      <c r="G5" s="11" t="s">
        <v>145</v>
      </c>
      <c r="H5" s="12" t="s">
        <v>3</v>
      </c>
      <c r="I5" s="12" t="s">
        <v>12</v>
      </c>
      <c r="K5" s="11" t="s">
        <v>143</v>
      </c>
      <c r="L5" s="11" t="s">
        <v>64</v>
      </c>
      <c r="M5" s="11" t="s">
        <v>144</v>
      </c>
      <c r="N5" s="11" t="s">
        <v>145</v>
      </c>
      <c r="O5" s="12" t="s">
        <v>3</v>
      </c>
      <c r="P5" s="12" t="s">
        <v>12</v>
      </c>
      <c r="R5" s="12" t="s">
        <v>3</v>
      </c>
      <c r="S5" s="12" t="s">
        <v>12</v>
      </c>
    </row>
    <row r="6" spans="4:19" s="5" customFormat="1" ht="10.5">
      <c r="D6" s="11" t="s">
        <v>1</v>
      </c>
      <c r="E6" s="11" t="s">
        <v>45</v>
      </c>
      <c r="F6" s="11" t="s">
        <v>46</v>
      </c>
      <c r="G6" s="11" t="s">
        <v>47</v>
      </c>
      <c r="H6" s="12" t="s">
        <v>6</v>
      </c>
      <c r="I6" s="12" t="s">
        <v>6</v>
      </c>
      <c r="K6" s="11" t="s">
        <v>1</v>
      </c>
      <c r="L6" s="11" t="s">
        <v>45</v>
      </c>
      <c r="M6" s="11" t="s">
        <v>46</v>
      </c>
      <c r="N6" s="11" t="s">
        <v>47</v>
      </c>
      <c r="O6" s="12" t="s">
        <v>6</v>
      </c>
      <c r="P6" s="12" t="s">
        <v>6</v>
      </c>
      <c r="R6" s="12" t="s">
        <v>6</v>
      </c>
      <c r="S6" s="12" t="s">
        <v>6</v>
      </c>
    </row>
    <row r="7" ht="10.5"/>
    <row r="8" spans="1:19" ht="10.5">
      <c r="A8" s="5">
        <v>1</v>
      </c>
      <c r="B8" s="5">
        <v>-5</v>
      </c>
      <c r="D8" s="126">
        <f>8*Dimensions!C102</f>
        <v>0.2032</v>
      </c>
      <c r="E8" s="11">
        <f>Dimensions!$D$26</f>
        <v>2675.6075520000004</v>
      </c>
      <c r="F8" s="3">
        <f aca="true" t="shared" si="0" ref="F8:F39">E8*D8</f>
        <v>543.6834545664001</v>
      </c>
      <c r="G8" s="11">
        <f>Dimensions!$D$34</f>
        <v>2402.7694001500204</v>
      </c>
      <c r="H8" s="4">
        <f>F8*G8</f>
        <v>1306345.9679999999</v>
      </c>
      <c r="I8" s="4">
        <f>H8</f>
        <v>1306345.9679999999</v>
      </c>
      <c r="K8" s="125">
        <f>8*Dimensions!$C$102</f>
        <v>0.2032</v>
      </c>
      <c r="L8" s="3">
        <f>Dimensions!$D$27</f>
        <v>654.68772288</v>
      </c>
      <c r="M8" s="3">
        <f>L8*K8</f>
        <v>133.032545289216</v>
      </c>
      <c r="N8" s="3">
        <f>Dimensions!$D$34</f>
        <v>2402.7694001500204</v>
      </c>
      <c r="O8" s="4">
        <f>N8*M8</f>
        <v>319646.5290449999</v>
      </c>
      <c r="P8" s="4">
        <f>O8</f>
        <v>319646.5290449999</v>
      </c>
      <c r="R8" s="4">
        <f aca="true" t="shared" si="1" ref="R8:R39">H8+O8</f>
        <v>1625992.4970449999</v>
      </c>
      <c r="S8" s="4">
        <f>R8</f>
        <v>1625992.4970449999</v>
      </c>
    </row>
    <row r="9" spans="1:19" ht="10.5">
      <c r="A9" s="5">
        <f>A8+1</f>
        <v>2</v>
      </c>
      <c r="B9" s="5">
        <f>B8+1</f>
        <v>-4</v>
      </c>
      <c r="D9" s="126">
        <f aca="true" t="shared" si="2" ref="D9:D14">D8</f>
        <v>0.2032</v>
      </c>
      <c r="E9" s="11">
        <f>Dimensions!$D$26</f>
        <v>2675.6075520000004</v>
      </c>
      <c r="F9" s="3">
        <f t="shared" si="0"/>
        <v>543.6834545664001</v>
      </c>
      <c r="G9" s="11">
        <f>Dimensions!$D$34</f>
        <v>2402.7694001500204</v>
      </c>
      <c r="H9" s="4">
        <f aca="true" t="shared" si="3" ref="H9:H72">F9*G9</f>
        <v>1306345.9679999999</v>
      </c>
      <c r="I9" s="4">
        <f>I8+H9</f>
        <v>2612691.9359999998</v>
      </c>
      <c r="K9" s="125">
        <f>8*Dimensions!$C$102</f>
        <v>0.2032</v>
      </c>
      <c r="L9" s="3">
        <f>Dimensions!$D$27</f>
        <v>654.68772288</v>
      </c>
      <c r="M9" s="3">
        <f aca="true" t="shared" si="4" ref="M9:M72">L9*K9</f>
        <v>133.032545289216</v>
      </c>
      <c r="N9" s="3">
        <f>Dimensions!$D$34</f>
        <v>2402.7694001500204</v>
      </c>
      <c r="O9" s="4">
        <f aca="true" t="shared" si="5" ref="O9:O72">N9*M9</f>
        <v>319646.5290449999</v>
      </c>
      <c r="P9" s="4">
        <f>P8+O9</f>
        <v>639293.0580899998</v>
      </c>
      <c r="R9" s="4">
        <f t="shared" si="1"/>
        <v>1625992.4970449999</v>
      </c>
      <c r="S9" s="4">
        <f>S8+R9</f>
        <v>3251984.9940899997</v>
      </c>
    </row>
    <row r="10" spans="1:19" ht="10.5">
      <c r="A10" s="5">
        <f aca="true" t="shared" si="6" ref="A10:A73">A9+1</f>
        <v>3</v>
      </c>
      <c r="B10" s="5">
        <f aca="true" t="shared" si="7" ref="B10:B73">B9+1</f>
        <v>-3</v>
      </c>
      <c r="D10" s="126">
        <f t="shared" si="2"/>
        <v>0.2032</v>
      </c>
      <c r="E10" s="11">
        <f>Dimensions!$D$26</f>
        <v>2675.6075520000004</v>
      </c>
      <c r="F10" s="3">
        <f t="shared" si="0"/>
        <v>543.6834545664001</v>
      </c>
      <c r="G10" s="11">
        <f>Dimensions!$D$34</f>
        <v>2402.7694001500204</v>
      </c>
      <c r="H10" s="4">
        <f t="shared" si="3"/>
        <v>1306345.9679999999</v>
      </c>
      <c r="I10" s="4">
        <f aca="true" t="shared" si="8" ref="I10:I73">I9+H10</f>
        <v>3919037.9039999996</v>
      </c>
      <c r="K10" s="125">
        <f>8*Dimensions!$C$102</f>
        <v>0.2032</v>
      </c>
      <c r="L10" s="3">
        <f>Dimensions!$D$27</f>
        <v>654.68772288</v>
      </c>
      <c r="M10" s="3">
        <f t="shared" si="4"/>
        <v>133.032545289216</v>
      </c>
      <c r="N10" s="3">
        <f>Dimensions!$D$34</f>
        <v>2402.7694001500204</v>
      </c>
      <c r="O10" s="4">
        <f t="shared" si="5"/>
        <v>319646.5290449999</v>
      </c>
      <c r="P10" s="4">
        <f aca="true" t="shared" si="9" ref="P10:P73">P9+O10</f>
        <v>958939.5871349997</v>
      </c>
      <c r="R10" s="4">
        <f t="shared" si="1"/>
        <v>1625992.4970449999</v>
      </c>
      <c r="S10" s="4">
        <f aca="true" t="shared" si="10" ref="S10:S73">S9+R10</f>
        <v>4877977.491134999</v>
      </c>
    </row>
    <row r="11" spans="1:19" ht="10.5">
      <c r="A11" s="5">
        <f t="shared" si="6"/>
        <v>4</v>
      </c>
      <c r="B11" s="5">
        <f t="shared" si="7"/>
        <v>-2</v>
      </c>
      <c r="D11" s="126">
        <f t="shared" si="2"/>
        <v>0.2032</v>
      </c>
      <c r="E11" s="11">
        <f>Dimensions!$D$26</f>
        <v>2675.6075520000004</v>
      </c>
      <c r="F11" s="3">
        <f t="shared" si="0"/>
        <v>543.6834545664001</v>
      </c>
      <c r="G11" s="11">
        <f>Dimensions!$D$34</f>
        <v>2402.7694001500204</v>
      </c>
      <c r="H11" s="4">
        <f t="shared" si="3"/>
        <v>1306345.9679999999</v>
      </c>
      <c r="I11" s="4">
        <f t="shared" si="8"/>
        <v>5225383.8719999995</v>
      </c>
      <c r="K11" s="125">
        <f>8*Dimensions!$C$102</f>
        <v>0.2032</v>
      </c>
      <c r="L11" s="3">
        <f>Dimensions!$D$27</f>
        <v>654.68772288</v>
      </c>
      <c r="M11" s="3">
        <f t="shared" si="4"/>
        <v>133.032545289216</v>
      </c>
      <c r="N11" s="3">
        <f>Dimensions!$D$34</f>
        <v>2402.7694001500204</v>
      </c>
      <c r="O11" s="4">
        <f t="shared" si="5"/>
        <v>319646.5290449999</v>
      </c>
      <c r="P11" s="4">
        <f t="shared" si="9"/>
        <v>1278586.1161799997</v>
      </c>
      <c r="R11" s="4">
        <f t="shared" si="1"/>
        <v>1625992.4970449999</v>
      </c>
      <c r="S11" s="4">
        <f t="shared" si="10"/>
        <v>6503969.988179999</v>
      </c>
    </row>
    <row r="12" spans="1:19" ht="10.5">
      <c r="A12" s="5">
        <f t="shared" si="6"/>
        <v>5</v>
      </c>
      <c r="B12" s="5">
        <f t="shared" si="7"/>
        <v>-1</v>
      </c>
      <c r="D12" s="126">
        <f t="shared" si="2"/>
        <v>0.2032</v>
      </c>
      <c r="E12" s="11">
        <f>Dimensions!$D$26</f>
        <v>2675.6075520000004</v>
      </c>
      <c r="F12" s="3">
        <f t="shared" si="0"/>
        <v>543.6834545664001</v>
      </c>
      <c r="G12" s="11">
        <f>Dimensions!$D$34</f>
        <v>2402.7694001500204</v>
      </c>
      <c r="H12" s="4">
        <f t="shared" si="3"/>
        <v>1306345.9679999999</v>
      </c>
      <c r="I12" s="4">
        <f t="shared" si="8"/>
        <v>6531729.84</v>
      </c>
      <c r="K12" s="125">
        <f>8*Dimensions!$C$102</f>
        <v>0.2032</v>
      </c>
      <c r="L12" s="3">
        <f>Dimensions!$D$27</f>
        <v>654.68772288</v>
      </c>
      <c r="M12" s="3">
        <f t="shared" si="4"/>
        <v>133.032545289216</v>
      </c>
      <c r="N12" s="3">
        <f>Dimensions!$D$34</f>
        <v>2402.7694001500204</v>
      </c>
      <c r="O12" s="4">
        <f t="shared" si="5"/>
        <v>319646.5290449999</v>
      </c>
      <c r="P12" s="4">
        <f t="shared" si="9"/>
        <v>1598232.6452249996</v>
      </c>
      <c r="R12" s="4">
        <f t="shared" si="1"/>
        <v>1625992.4970449999</v>
      </c>
      <c r="S12" s="4">
        <f t="shared" si="10"/>
        <v>8129962.4852249995</v>
      </c>
    </row>
    <row r="13" spans="1:19" ht="10.5">
      <c r="A13" s="5">
        <f t="shared" si="6"/>
        <v>6</v>
      </c>
      <c r="B13" s="5">
        <f t="shared" si="7"/>
        <v>0</v>
      </c>
      <c r="D13" s="126">
        <f t="shared" si="2"/>
        <v>0.2032</v>
      </c>
      <c r="E13" s="11">
        <f>Dimensions!$D$26</f>
        <v>2675.6075520000004</v>
      </c>
      <c r="F13" s="3">
        <f t="shared" si="0"/>
        <v>543.6834545664001</v>
      </c>
      <c r="G13" s="11">
        <f>Dimensions!$D$34</f>
        <v>2402.7694001500204</v>
      </c>
      <c r="H13" s="4">
        <f t="shared" si="3"/>
        <v>1306345.9679999999</v>
      </c>
      <c r="I13" s="4">
        <f t="shared" si="8"/>
        <v>7838075.808</v>
      </c>
      <c r="K13" s="125">
        <f>8*Dimensions!$C$102</f>
        <v>0.2032</v>
      </c>
      <c r="L13" s="3">
        <f>Dimensions!$D$27</f>
        <v>654.68772288</v>
      </c>
      <c r="M13" s="3">
        <f t="shared" si="4"/>
        <v>133.032545289216</v>
      </c>
      <c r="N13" s="3">
        <f>Dimensions!$D$34</f>
        <v>2402.7694001500204</v>
      </c>
      <c r="O13" s="4">
        <f t="shared" si="5"/>
        <v>319646.5290449999</v>
      </c>
      <c r="P13" s="4">
        <f t="shared" si="9"/>
        <v>1917879.1742699996</v>
      </c>
      <c r="R13" s="4">
        <f t="shared" si="1"/>
        <v>1625992.4970449999</v>
      </c>
      <c r="S13" s="4">
        <f t="shared" si="10"/>
        <v>9755954.982269999</v>
      </c>
    </row>
    <row r="14" spans="1:19" s="45" customFormat="1" ht="10.5">
      <c r="A14" s="13">
        <f t="shared" si="6"/>
        <v>7</v>
      </c>
      <c r="B14" s="13">
        <f t="shared" si="7"/>
        <v>1</v>
      </c>
      <c r="C14" s="13"/>
      <c r="D14" s="14">
        <f t="shared" si="2"/>
        <v>0.2032</v>
      </c>
      <c r="E14" s="14">
        <f>Dimensions!$D$26</f>
        <v>2675.6075520000004</v>
      </c>
      <c r="F14" s="7">
        <f t="shared" si="0"/>
        <v>543.6834545664001</v>
      </c>
      <c r="G14" s="14">
        <f>Dimensions!$D$33</f>
        <v>1601.8462667666804</v>
      </c>
      <c r="H14" s="8">
        <f t="shared" si="3"/>
        <v>870897.312</v>
      </c>
      <c r="I14" s="8">
        <f t="shared" si="8"/>
        <v>8708973.120000001</v>
      </c>
      <c r="J14" s="6"/>
      <c r="K14" s="7">
        <f>8*Dimensions!$C$102</f>
        <v>0.2032</v>
      </c>
      <c r="L14" s="7">
        <f>Dimensions!$D$27</f>
        <v>654.68772288</v>
      </c>
      <c r="M14" s="7">
        <f t="shared" si="4"/>
        <v>133.032545289216</v>
      </c>
      <c r="N14" s="7">
        <f>Dimensions!$D$34</f>
        <v>2402.7694001500204</v>
      </c>
      <c r="O14" s="8">
        <f t="shared" si="5"/>
        <v>319646.5290449999</v>
      </c>
      <c r="P14" s="8">
        <f t="shared" si="9"/>
        <v>2237525.7033149996</v>
      </c>
      <c r="Q14" s="6"/>
      <c r="R14" s="8">
        <f t="shared" si="1"/>
        <v>1190543.841045</v>
      </c>
      <c r="S14" s="8">
        <f t="shared" si="10"/>
        <v>10946498.823314998</v>
      </c>
    </row>
    <row r="15" spans="1:19" ht="10.5">
      <c r="A15" s="5">
        <f t="shared" si="6"/>
        <v>8</v>
      </c>
      <c r="B15" s="5">
        <f t="shared" si="7"/>
        <v>2</v>
      </c>
      <c r="D15" s="127">
        <f>4*Dimensions!$C$102</f>
        <v>0.1016</v>
      </c>
      <c r="E15" s="11">
        <f>Dimensions!$D$26</f>
        <v>2675.6075520000004</v>
      </c>
      <c r="F15" s="3">
        <f t="shared" si="0"/>
        <v>271.84172728320004</v>
      </c>
      <c r="G15" s="11">
        <f>Dimensions!$D$33</f>
        <v>1601.8462667666804</v>
      </c>
      <c r="H15" s="4">
        <f t="shared" si="3"/>
        <v>435448.656</v>
      </c>
      <c r="I15" s="4">
        <f t="shared" si="8"/>
        <v>9144421.776</v>
      </c>
      <c r="K15" s="128">
        <f>5*Dimensions!$C$102</f>
        <v>0.127</v>
      </c>
      <c r="L15" s="3">
        <f>Dimensions!$D$27</f>
        <v>654.68772288</v>
      </c>
      <c r="M15" s="3">
        <f t="shared" si="4"/>
        <v>83.14534080576</v>
      </c>
      <c r="N15" s="3">
        <f>Dimensions!$D$34</f>
        <v>2402.7694001500204</v>
      </c>
      <c r="O15" s="4">
        <f t="shared" si="5"/>
        <v>199779.08065312495</v>
      </c>
      <c r="P15" s="4">
        <f t="shared" si="9"/>
        <v>2437304.7839681245</v>
      </c>
      <c r="R15" s="4">
        <f t="shared" si="1"/>
        <v>635227.7366531249</v>
      </c>
      <c r="S15" s="4">
        <f t="shared" si="10"/>
        <v>11581726.559968123</v>
      </c>
    </row>
    <row r="16" spans="1:19" ht="10.5">
      <c r="A16" s="5">
        <f t="shared" si="6"/>
        <v>9</v>
      </c>
      <c r="B16" s="5">
        <f t="shared" si="7"/>
        <v>3</v>
      </c>
      <c r="D16" s="127">
        <f>4*Dimensions!$C$102</f>
        <v>0.1016</v>
      </c>
      <c r="E16" s="11">
        <f>Dimensions!$D$26</f>
        <v>2675.6075520000004</v>
      </c>
      <c r="F16" s="3">
        <f t="shared" si="0"/>
        <v>271.84172728320004</v>
      </c>
      <c r="G16" s="11">
        <f>Dimensions!$D$33</f>
        <v>1601.8462667666804</v>
      </c>
      <c r="H16" s="4">
        <f t="shared" si="3"/>
        <v>435448.656</v>
      </c>
      <c r="I16" s="4">
        <f t="shared" si="8"/>
        <v>9579870.432</v>
      </c>
      <c r="K16" s="128">
        <f>5*Dimensions!$C$102</f>
        <v>0.127</v>
      </c>
      <c r="L16" s="3">
        <f>Dimensions!$D$27</f>
        <v>654.68772288</v>
      </c>
      <c r="M16" s="3">
        <f t="shared" si="4"/>
        <v>83.14534080576</v>
      </c>
      <c r="N16" s="3">
        <f>Dimensions!$D$34</f>
        <v>2402.7694001500204</v>
      </c>
      <c r="O16" s="4">
        <f t="shared" si="5"/>
        <v>199779.08065312495</v>
      </c>
      <c r="P16" s="4">
        <f t="shared" si="9"/>
        <v>2637083.8646212495</v>
      </c>
      <c r="R16" s="4">
        <f t="shared" si="1"/>
        <v>635227.7366531249</v>
      </c>
      <c r="S16" s="4">
        <f t="shared" si="10"/>
        <v>12216954.296621248</v>
      </c>
    </row>
    <row r="17" spans="1:19" ht="10.5">
      <c r="A17" s="5">
        <f t="shared" si="6"/>
        <v>10</v>
      </c>
      <c r="B17" s="5">
        <f t="shared" si="7"/>
        <v>4</v>
      </c>
      <c r="D17" s="127">
        <f>4*Dimensions!$C$102</f>
        <v>0.1016</v>
      </c>
      <c r="E17" s="11">
        <f>Dimensions!$D$26</f>
        <v>2675.6075520000004</v>
      </c>
      <c r="F17" s="3">
        <f t="shared" si="0"/>
        <v>271.84172728320004</v>
      </c>
      <c r="G17" s="11">
        <f>Dimensions!$D$33</f>
        <v>1601.8462667666804</v>
      </c>
      <c r="H17" s="4">
        <f t="shared" si="3"/>
        <v>435448.656</v>
      </c>
      <c r="I17" s="4">
        <f t="shared" si="8"/>
        <v>10015319.088</v>
      </c>
      <c r="K17" s="128">
        <f>5*Dimensions!$C$102</f>
        <v>0.127</v>
      </c>
      <c r="L17" s="3">
        <f>Dimensions!$D$27</f>
        <v>654.68772288</v>
      </c>
      <c r="M17" s="3">
        <f t="shared" si="4"/>
        <v>83.14534080576</v>
      </c>
      <c r="N17" s="3">
        <f>Dimensions!$D$34</f>
        <v>2402.7694001500204</v>
      </c>
      <c r="O17" s="4">
        <f t="shared" si="5"/>
        <v>199779.08065312495</v>
      </c>
      <c r="P17" s="4">
        <f t="shared" si="9"/>
        <v>2836862.9452743744</v>
      </c>
      <c r="R17" s="4">
        <f t="shared" si="1"/>
        <v>635227.7366531249</v>
      </c>
      <c r="S17" s="4">
        <f t="shared" si="10"/>
        <v>12852182.033274373</v>
      </c>
    </row>
    <row r="18" spans="1:19" ht="10.5">
      <c r="A18" s="5">
        <f t="shared" si="6"/>
        <v>11</v>
      </c>
      <c r="B18" s="5">
        <f t="shared" si="7"/>
        <v>5</v>
      </c>
      <c r="D18" s="127">
        <f>4*Dimensions!$C$102</f>
        <v>0.1016</v>
      </c>
      <c r="E18" s="11">
        <f>Dimensions!$D$26</f>
        <v>2675.6075520000004</v>
      </c>
      <c r="F18" s="3">
        <f t="shared" si="0"/>
        <v>271.84172728320004</v>
      </c>
      <c r="G18" s="11">
        <f>Dimensions!$D$33</f>
        <v>1601.8462667666804</v>
      </c>
      <c r="H18" s="4">
        <f t="shared" si="3"/>
        <v>435448.656</v>
      </c>
      <c r="I18" s="4">
        <f t="shared" si="8"/>
        <v>10450767.743999999</v>
      </c>
      <c r="K18" s="128">
        <f>5*Dimensions!$C$102</f>
        <v>0.127</v>
      </c>
      <c r="L18" s="3">
        <f>Dimensions!$D$27</f>
        <v>654.68772288</v>
      </c>
      <c r="M18" s="3">
        <f t="shared" si="4"/>
        <v>83.14534080576</v>
      </c>
      <c r="N18" s="3">
        <f>Dimensions!$D$34</f>
        <v>2402.7694001500204</v>
      </c>
      <c r="O18" s="4">
        <f t="shared" si="5"/>
        <v>199779.08065312495</v>
      </c>
      <c r="P18" s="4">
        <f t="shared" si="9"/>
        <v>3036642.0259274994</v>
      </c>
      <c r="R18" s="4">
        <f t="shared" si="1"/>
        <v>635227.7366531249</v>
      </c>
      <c r="S18" s="4">
        <f t="shared" si="10"/>
        <v>13487409.769927498</v>
      </c>
    </row>
    <row r="19" spans="1:19" ht="10.5">
      <c r="A19" s="5">
        <f t="shared" si="6"/>
        <v>12</v>
      </c>
      <c r="B19" s="5">
        <f t="shared" si="7"/>
        <v>6</v>
      </c>
      <c r="D19" s="127">
        <f>4*Dimensions!$C$102</f>
        <v>0.1016</v>
      </c>
      <c r="E19" s="11">
        <f>Dimensions!$D$26</f>
        <v>2675.6075520000004</v>
      </c>
      <c r="F19" s="3">
        <f t="shared" si="0"/>
        <v>271.84172728320004</v>
      </c>
      <c r="G19" s="11">
        <f>Dimensions!$D$33</f>
        <v>1601.8462667666804</v>
      </c>
      <c r="H19" s="4">
        <f t="shared" si="3"/>
        <v>435448.656</v>
      </c>
      <c r="I19" s="4">
        <f t="shared" si="8"/>
        <v>10886216.399999999</v>
      </c>
      <c r="K19" s="128">
        <f>5*Dimensions!$C$102</f>
        <v>0.127</v>
      </c>
      <c r="L19" s="3">
        <f>Dimensions!$D$27</f>
        <v>654.68772288</v>
      </c>
      <c r="M19" s="3">
        <f t="shared" si="4"/>
        <v>83.14534080576</v>
      </c>
      <c r="N19" s="3">
        <f>Dimensions!$D$34</f>
        <v>2402.7694001500204</v>
      </c>
      <c r="O19" s="4">
        <f t="shared" si="5"/>
        <v>199779.08065312495</v>
      </c>
      <c r="P19" s="4">
        <f t="shared" si="9"/>
        <v>3236421.1065806244</v>
      </c>
      <c r="R19" s="4">
        <f t="shared" si="1"/>
        <v>635227.7366531249</v>
      </c>
      <c r="S19" s="4">
        <f t="shared" si="10"/>
        <v>14122637.506580623</v>
      </c>
    </row>
    <row r="20" spans="1:19" ht="10.5">
      <c r="A20" s="5">
        <f t="shared" si="6"/>
        <v>13</v>
      </c>
      <c r="B20" s="5">
        <f t="shared" si="7"/>
        <v>7</v>
      </c>
      <c r="D20" s="127">
        <f>4*Dimensions!$C$102</f>
        <v>0.1016</v>
      </c>
      <c r="E20" s="11">
        <f>Dimensions!$D$26</f>
        <v>2675.6075520000004</v>
      </c>
      <c r="F20" s="3">
        <f t="shared" si="0"/>
        <v>271.84172728320004</v>
      </c>
      <c r="G20" s="11">
        <f>Dimensions!$D$33</f>
        <v>1601.8462667666804</v>
      </c>
      <c r="H20" s="4">
        <f t="shared" si="3"/>
        <v>435448.656</v>
      </c>
      <c r="I20" s="4">
        <f t="shared" si="8"/>
        <v>11321665.055999998</v>
      </c>
      <c r="K20" s="128">
        <f>5*Dimensions!$C$102</f>
        <v>0.127</v>
      </c>
      <c r="L20" s="3">
        <f>Dimensions!$D$27</f>
        <v>654.68772288</v>
      </c>
      <c r="M20" s="3">
        <f t="shared" si="4"/>
        <v>83.14534080576</v>
      </c>
      <c r="N20" s="3">
        <f>Dimensions!$D$34</f>
        <v>2402.7694001500204</v>
      </c>
      <c r="O20" s="4">
        <f t="shared" si="5"/>
        <v>199779.08065312495</v>
      </c>
      <c r="P20" s="4">
        <f t="shared" si="9"/>
        <v>3436200.1872337493</v>
      </c>
      <c r="R20" s="4">
        <f t="shared" si="1"/>
        <v>635227.7366531249</v>
      </c>
      <c r="S20" s="4">
        <f t="shared" si="10"/>
        <v>14757865.243233748</v>
      </c>
    </row>
    <row r="21" spans="1:19" ht="10.5">
      <c r="A21" s="5">
        <f t="shared" si="6"/>
        <v>14</v>
      </c>
      <c r="B21" s="5">
        <f t="shared" si="7"/>
        <v>8</v>
      </c>
      <c r="D21" s="127">
        <f>4*Dimensions!$C$102</f>
        <v>0.1016</v>
      </c>
      <c r="E21" s="11">
        <f>Dimensions!$D$26</f>
        <v>2675.6075520000004</v>
      </c>
      <c r="F21" s="3">
        <f t="shared" si="0"/>
        <v>271.84172728320004</v>
      </c>
      <c r="G21" s="11">
        <f>Dimensions!$D$33</f>
        <v>1601.8462667666804</v>
      </c>
      <c r="H21" s="4">
        <f t="shared" si="3"/>
        <v>435448.656</v>
      </c>
      <c r="I21" s="4">
        <f t="shared" si="8"/>
        <v>11757113.711999997</v>
      </c>
      <c r="K21" s="128">
        <f>5*Dimensions!$C$102</f>
        <v>0.127</v>
      </c>
      <c r="L21" s="3">
        <f>Dimensions!$D$27</f>
        <v>654.68772288</v>
      </c>
      <c r="M21" s="3">
        <f t="shared" si="4"/>
        <v>83.14534080576</v>
      </c>
      <c r="N21" s="3">
        <f>Dimensions!$D$34</f>
        <v>2402.7694001500204</v>
      </c>
      <c r="O21" s="4">
        <f t="shared" si="5"/>
        <v>199779.08065312495</v>
      </c>
      <c r="P21" s="4">
        <f t="shared" si="9"/>
        <v>3635979.2678868743</v>
      </c>
      <c r="R21" s="4">
        <f t="shared" si="1"/>
        <v>635227.7366531249</v>
      </c>
      <c r="S21" s="4">
        <f t="shared" si="10"/>
        <v>15393092.979886873</v>
      </c>
    </row>
    <row r="22" spans="1:19" ht="10.5">
      <c r="A22" s="5">
        <f t="shared" si="6"/>
        <v>15</v>
      </c>
      <c r="B22" s="5">
        <f t="shared" si="7"/>
        <v>9</v>
      </c>
      <c r="D22" s="127">
        <f>4*Dimensions!$C$102</f>
        <v>0.1016</v>
      </c>
      <c r="E22" s="11">
        <f>Dimensions!$D$26</f>
        <v>2675.6075520000004</v>
      </c>
      <c r="F22" s="3">
        <f t="shared" si="0"/>
        <v>271.84172728320004</v>
      </c>
      <c r="G22" s="11">
        <f>Dimensions!$D$33</f>
        <v>1601.8462667666804</v>
      </c>
      <c r="H22" s="4">
        <f t="shared" si="3"/>
        <v>435448.656</v>
      </c>
      <c r="I22" s="4">
        <f t="shared" si="8"/>
        <v>12192562.367999997</v>
      </c>
      <c r="K22" s="128">
        <f>5*Dimensions!$C$102</f>
        <v>0.127</v>
      </c>
      <c r="L22" s="3">
        <f>Dimensions!$D$27</f>
        <v>654.68772288</v>
      </c>
      <c r="M22" s="3">
        <f t="shared" si="4"/>
        <v>83.14534080576</v>
      </c>
      <c r="N22" s="3">
        <f>Dimensions!$D$34</f>
        <v>2402.7694001500204</v>
      </c>
      <c r="O22" s="4">
        <f t="shared" si="5"/>
        <v>199779.08065312495</v>
      </c>
      <c r="P22" s="4">
        <f t="shared" si="9"/>
        <v>3835758.348539999</v>
      </c>
      <c r="R22" s="4">
        <f t="shared" si="1"/>
        <v>635227.7366531249</v>
      </c>
      <c r="S22" s="4">
        <f t="shared" si="10"/>
        <v>16028320.716539998</v>
      </c>
    </row>
    <row r="23" spans="1:19" ht="10.5">
      <c r="A23" s="5">
        <f t="shared" si="6"/>
        <v>16</v>
      </c>
      <c r="B23" s="5">
        <f t="shared" si="7"/>
        <v>10</v>
      </c>
      <c r="D23" s="127">
        <f>4*Dimensions!$C$102</f>
        <v>0.1016</v>
      </c>
      <c r="E23" s="11">
        <f>Dimensions!$D$26</f>
        <v>2675.6075520000004</v>
      </c>
      <c r="F23" s="3">
        <f t="shared" si="0"/>
        <v>271.84172728320004</v>
      </c>
      <c r="G23" s="11">
        <f>Dimensions!$D$33</f>
        <v>1601.8462667666804</v>
      </c>
      <c r="H23" s="4">
        <f t="shared" si="3"/>
        <v>435448.656</v>
      </c>
      <c r="I23" s="4">
        <f t="shared" si="8"/>
        <v>12628011.023999996</v>
      </c>
      <c r="K23" s="128">
        <f>5*Dimensions!$C$102</f>
        <v>0.127</v>
      </c>
      <c r="L23" s="3">
        <f>Dimensions!$D$27</f>
        <v>654.68772288</v>
      </c>
      <c r="M23" s="3">
        <f t="shared" si="4"/>
        <v>83.14534080576</v>
      </c>
      <c r="N23" s="3">
        <f>Dimensions!$D$34</f>
        <v>2402.7694001500204</v>
      </c>
      <c r="O23" s="4">
        <f t="shared" si="5"/>
        <v>199779.08065312495</v>
      </c>
      <c r="P23" s="4">
        <f t="shared" si="9"/>
        <v>4035537.429193124</v>
      </c>
      <c r="R23" s="4">
        <f t="shared" si="1"/>
        <v>635227.7366531249</v>
      </c>
      <c r="S23" s="4">
        <f t="shared" si="10"/>
        <v>16663548.453193123</v>
      </c>
    </row>
    <row r="24" spans="1:19" ht="10.5">
      <c r="A24" s="5">
        <f t="shared" si="6"/>
        <v>17</v>
      </c>
      <c r="B24" s="5">
        <f t="shared" si="7"/>
        <v>11</v>
      </c>
      <c r="D24" s="127">
        <f>4*Dimensions!$C$102</f>
        <v>0.1016</v>
      </c>
      <c r="E24" s="11">
        <f>Dimensions!$D$26</f>
        <v>2675.6075520000004</v>
      </c>
      <c r="F24" s="3">
        <f t="shared" si="0"/>
        <v>271.84172728320004</v>
      </c>
      <c r="G24" s="11">
        <f>Dimensions!$D$33</f>
        <v>1601.8462667666804</v>
      </c>
      <c r="H24" s="4">
        <f t="shared" si="3"/>
        <v>435448.656</v>
      </c>
      <c r="I24" s="4">
        <f t="shared" si="8"/>
        <v>13063459.679999996</v>
      </c>
      <c r="K24" s="128">
        <f>5*Dimensions!$C$102</f>
        <v>0.127</v>
      </c>
      <c r="L24" s="3">
        <f>Dimensions!$D$27</f>
        <v>654.68772288</v>
      </c>
      <c r="M24" s="3">
        <f t="shared" si="4"/>
        <v>83.14534080576</v>
      </c>
      <c r="N24" s="3">
        <f>Dimensions!$D$34</f>
        <v>2402.7694001500204</v>
      </c>
      <c r="O24" s="4">
        <f t="shared" si="5"/>
        <v>199779.08065312495</v>
      </c>
      <c r="P24" s="4">
        <f t="shared" si="9"/>
        <v>4235316.50984625</v>
      </c>
      <c r="R24" s="4">
        <f t="shared" si="1"/>
        <v>635227.7366531249</v>
      </c>
      <c r="S24" s="4">
        <f t="shared" si="10"/>
        <v>17298776.189846247</v>
      </c>
    </row>
    <row r="25" spans="1:19" ht="10.5">
      <c r="A25" s="5">
        <f t="shared" si="6"/>
        <v>18</v>
      </c>
      <c r="B25" s="5">
        <f t="shared" si="7"/>
        <v>12</v>
      </c>
      <c r="D25" s="127">
        <f>4*Dimensions!$C$102</f>
        <v>0.1016</v>
      </c>
      <c r="E25" s="11">
        <f>Dimensions!$D$26</f>
        <v>2675.6075520000004</v>
      </c>
      <c r="F25" s="3">
        <f t="shared" si="0"/>
        <v>271.84172728320004</v>
      </c>
      <c r="G25" s="11">
        <f>Dimensions!$D$33</f>
        <v>1601.8462667666804</v>
      </c>
      <c r="H25" s="4">
        <f t="shared" si="3"/>
        <v>435448.656</v>
      </c>
      <c r="I25" s="4">
        <f t="shared" si="8"/>
        <v>13498908.335999995</v>
      </c>
      <c r="K25" s="128">
        <f>5*Dimensions!$C$102</f>
        <v>0.127</v>
      </c>
      <c r="L25" s="3">
        <f>Dimensions!$D$27</f>
        <v>654.68772288</v>
      </c>
      <c r="M25" s="3">
        <f t="shared" si="4"/>
        <v>83.14534080576</v>
      </c>
      <c r="N25" s="3">
        <f>Dimensions!$D$34</f>
        <v>2402.7694001500204</v>
      </c>
      <c r="O25" s="4">
        <f t="shared" si="5"/>
        <v>199779.08065312495</v>
      </c>
      <c r="P25" s="4">
        <f t="shared" si="9"/>
        <v>4435095.590499375</v>
      </c>
      <c r="R25" s="4">
        <f t="shared" si="1"/>
        <v>635227.7366531249</v>
      </c>
      <c r="S25" s="4">
        <f t="shared" si="10"/>
        <v>17934003.926499374</v>
      </c>
    </row>
    <row r="26" spans="1:19" ht="10.5">
      <c r="A26" s="5">
        <f t="shared" si="6"/>
        <v>19</v>
      </c>
      <c r="B26" s="5">
        <f t="shared" si="7"/>
        <v>13</v>
      </c>
      <c r="D26" s="127">
        <f>4*Dimensions!$C$102</f>
        <v>0.1016</v>
      </c>
      <c r="E26" s="11">
        <f>Dimensions!$D$26</f>
        <v>2675.6075520000004</v>
      </c>
      <c r="F26" s="3">
        <f t="shared" si="0"/>
        <v>271.84172728320004</v>
      </c>
      <c r="G26" s="11">
        <f>Dimensions!$D$33</f>
        <v>1601.8462667666804</v>
      </c>
      <c r="H26" s="4">
        <f t="shared" si="3"/>
        <v>435448.656</v>
      </c>
      <c r="I26" s="4">
        <f t="shared" si="8"/>
        <v>13934356.991999995</v>
      </c>
      <c r="K26" s="128">
        <f>5*Dimensions!$C$102</f>
        <v>0.127</v>
      </c>
      <c r="L26" s="3">
        <f>Dimensions!$D$27</f>
        <v>654.68772288</v>
      </c>
      <c r="M26" s="3">
        <f t="shared" si="4"/>
        <v>83.14534080576</v>
      </c>
      <c r="N26" s="3">
        <f>Dimensions!$D$34</f>
        <v>2402.7694001500204</v>
      </c>
      <c r="O26" s="4">
        <f t="shared" si="5"/>
        <v>199779.08065312495</v>
      </c>
      <c r="P26" s="4">
        <f t="shared" si="9"/>
        <v>4634874.6711525</v>
      </c>
      <c r="R26" s="4">
        <f t="shared" si="1"/>
        <v>635227.7366531249</v>
      </c>
      <c r="S26" s="4">
        <f t="shared" si="10"/>
        <v>18569231.6631525</v>
      </c>
    </row>
    <row r="27" spans="1:19" ht="10.5">
      <c r="A27" s="5">
        <f t="shared" si="6"/>
        <v>20</v>
      </c>
      <c r="B27" s="5">
        <f t="shared" si="7"/>
        <v>14</v>
      </c>
      <c r="D27" s="127">
        <f>4*Dimensions!$C$102</f>
        <v>0.1016</v>
      </c>
      <c r="E27" s="11">
        <f>Dimensions!$D$26</f>
        <v>2675.6075520000004</v>
      </c>
      <c r="F27" s="3">
        <f t="shared" si="0"/>
        <v>271.84172728320004</v>
      </c>
      <c r="G27" s="11">
        <f>Dimensions!$D$33</f>
        <v>1601.8462667666804</v>
      </c>
      <c r="H27" s="4">
        <f t="shared" si="3"/>
        <v>435448.656</v>
      </c>
      <c r="I27" s="4">
        <f t="shared" si="8"/>
        <v>14369805.647999994</v>
      </c>
      <c r="K27" s="128">
        <f>5*Dimensions!$C$102</f>
        <v>0.127</v>
      </c>
      <c r="L27" s="3">
        <f>Dimensions!$D$27</f>
        <v>654.68772288</v>
      </c>
      <c r="M27" s="3">
        <f t="shared" si="4"/>
        <v>83.14534080576</v>
      </c>
      <c r="N27" s="3">
        <f>Dimensions!$D$34</f>
        <v>2402.7694001500204</v>
      </c>
      <c r="O27" s="4">
        <f t="shared" si="5"/>
        <v>199779.08065312495</v>
      </c>
      <c r="P27" s="4">
        <f t="shared" si="9"/>
        <v>4834653.751805626</v>
      </c>
      <c r="R27" s="4">
        <f t="shared" si="1"/>
        <v>635227.7366531249</v>
      </c>
      <c r="S27" s="4">
        <f t="shared" si="10"/>
        <v>19204459.399805628</v>
      </c>
    </row>
    <row r="28" spans="1:19" ht="10.5">
      <c r="A28" s="5">
        <f t="shared" si="6"/>
        <v>21</v>
      </c>
      <c r="B28" s="5">
        <f t="shared" si="7"/>
        <v>15</v>
      </c>
      <c r="D28" s="127">
        <f>4*Dimensions!$C$102</f>
        <v>0.1016</v>
      </c>
      <c r="E28" s="11">
        <f>Dimensions!$D$26</f>
        <v>2675.6075520000004</v>
      </c>
      <c r="F28" s="3">
        <f t="shared" si="0"/>
        <v>271.84172728320004</v>
      </c>
      <c r="G28" s="11">
        <f>Dimensions!$D$33</f>
        <v>1601.8462667666804</v>
      </c>
      <c r="H28" s="4">
        <f t="shared" si="3"/>
        <v>435448.656</v>
      </c>
      <c r="I28" s="4">
        <f t="shared" si="8"/>
        <v>14805254.303999994</v>
      </c>
      <c r="K28" s="128">
        <f>5*Dimensions!$C$102</f>
        <v>0.127</v>
      </c>
      <c r="L28" s="3">
        <f>Dimensions!$D$27</f>
        <v>654.68772288</v>
      </c>
      <c r="M28" s="3">
        <f t="shared" si="4"/>
        <v>83.14534080576</v>
      </c>
      <c r="N28" s="3">
        <f>Dimensions!$D$34</f>
        <v>2402.7694001500204</v>
      </c>
      <c r="O28" s="4">
        <f t="shared" si="5"/>
        <v>199779.08065312495</v>
      </c>
      <c r="P28" s="4">
        <f t="shared" si="9"/>
        <v>5034432.832458751</v>
      </c>
      <c r="R28" s="4">
        <f t="shared" si="1"/>
        <v>635227.7366531249</v>
      </c>
      <c r="S28" s="4">
        <f t="shared" si="10"/>
        <v>19839687.136458755</v>
      </c>
    </row>
    <row r="29" spans="1:19" ht="10.5">
      <c r="A29" s="5">
        <f t="shared" si="6"/>
        <v>22</v>
      </c>
      <c r="B29" s="5">
        <f t="shared" si="7"/>
        <v>16</v>
      </c>
      <c r="D29" s="127">
        <f>4*Dimensions!$C$102</f>
        <v>0.1016</v>
      </c>
      <c r="E29" s="11">
        <f>Dimensions!$D$26</f>
        <v>2675.6075520000004</v>
      </c>
      <c r="F29" s="3">
        <f t="shared" si="0"/>
        <v>271.84172728320004</v>
      </c>
      <c r="G29" s="11">
        <f>Dimensions!$D$33</f>
        <v>1601.8462667666804</v>
      </c>
      <c r="H29" s="4">
        <f t="shared" si="3"/>
        <v>435448.656</v>
      </c>
      <c r="I29" s="4">
        <f t="shared" si="8"/>
        <v>15240702.959999993</v>
      </c>
      <c r="K29" s="128">
        <f>5*Dimensions!$C$102</f>
        <v>0.127</v>
      </c>
      <c r="L29" s="3">
        <f>Dimensions!$D$27</f>
        <v>654.68772288</v>
      </c>
      <c r="M29" s="3">
        <f t="shared" si="4"/>
        <v>83.14534080576</v>
      </c>
      <c r="N29" s="3">
        <f>Dimensions!$D$34</f>
        <v>2402.7694001500204</v>
      </c>
      <c r="O29" s="4">
        <f t="shared" si="5"/>
        <v>199779.08065312495</v>
      </c>
      <c r="P29" s="4">
        <f t="shared" si="9"/>
        <v>5234211.913111877</v>
      </c>
      <c r="R29" s="4">
        <f t="shared" si="1"/>
        <v>635227.7366531249</v>
      </c>
      <c r="S29" s="4">
        <f t="shared" si="10"/>
        <v>20474914.87311188</v>
      </c>
    </row>
    <row r="30" spans="1:19" ht="10.5">
      <c r="A30" s="5">
        <f t="shared" si="6"/>
        <v>23</v>
      </c>
      <c r="B30" s="5">
        <f t="shared" si="7"/>
        <v>17</v>
      </c>
      <c r="D30" s="127">
        <f>4*Dimensions!$C$102</f>
        <v>0.1016</v>
      </c>
      <c r="E30" s="11">
        <f>Dimensions!$D$26</f>
        <v>2675.6075520000004</v>
      </c>
      <c r="F30" s="3">
        <f t="shared" si="0"/>
        <v>271.84172728320004</v>
      </c>
      <c r="G30" s="11">
        <f>Dimensions!$D$33</f>
        <v>1601.8462667666804</v>
      </c>
      <c r="H30" s="4">
        <f t="shared" si="3"/>
        <v>435448.656</v>
      </c>
      <c r="I30" s="4">
        <f t="shared" si="8"/>
        <v>15676151.615999993</v>
      </c>
      <c r="K30" s="128">
        <f>5*Dimensions!$C$102</f>
        <v>0.127</v>
      </c>
      <c r="L30" s="3">
        <f>Dimensions!$D$27</f>
        <v>654.68772288</v>
      </c>
      <c r="M30" s="3">
        <f t="shared" si="4"/>
        <v>83.14534080576</v>
      </c>
      <c r="N30" s="3">
        <f>Dimensions!$D$34</f>
        <v>2402.7694001500204</v>
      </c>
      <c r="O30" s="4">
        <f t="shared" si="5"/>
        <v>199779.08065312495</v>
      </c>
      <c r="P30" s="4">
        <f t="shared" si="9"/>
        <v>5433990.993765002</v>
      </c>
      <c r="R30" s="4">
        <f t="shared" si="1"/>
        <v>635227.7366531249</v>
      </c>
      <c r="S30" s="4">
        <f t="shared" si="10"/>
        <v>21110142.609765008</v>
      </c>
    </row>
    <row r="31" spans="1:19" ht="10.5">
      <c r="A31" s="5">
        <f t="shared" si="6"/>
        <v>24</v>
      </c>
      <c r="B31" s="5">
        <f t="shared" si="7"/>
        <v>18</v>
      </c>
      <c r="D31" s="127">
        <f>4*Dimensions!$C$102</f>
        <v>0.1016</v>
      </c>
      <c r="E31" s="11">
        <f>Dimensions!$D$26</f>
        <v>2675.6075520000004</v>
      </c>
      <c r="F31" s="3">
        <f t="shared" si="0"/>
        <v>271.84172728320004</v>
      </c>
      <c r="G31" s="11">
        <f>Dimensions!$D$33</f>
        <v>1601.8462667666804</v>
      </c>
      <c r="H31" s="4">
        <f t="shared" si="3"/>
        <v>435448.656</v>
      </c>
      <c r="I31" s="4">
        <f t="shared" si="8"/>
        <v>16111600.271999992</v>
      </c>
      <c r="K31" s="128">
        <f>5*Dimensions!$C$102</f>
        <v>0.127</v>
      </c>
      <c r="L31" s="3">
        <f>Dimensions!$D$27</f>
        <v>654.68772288</v>
      </c>
      <c r="M31" s="3">
        <f t="shared" si="4"/>
        <v>83.14534080576</v>
      </c>
      <c r="N31" s="3">
        <f>Dimensions!$D$34</f>
        <v>2402.7694001500204</v>
      </c>
      <c r="O31" s="4">
        <f t="shared" si="5"/>
        <v>199779.08065312495</v>
      </c>
      <c r="P31" s="4">
        <f t="shared" si="9"/>
        <v>5633770.074418128</v>
      </c>
      <c r="R31" s="4">
        <f t="shared" si="1"/>
        <v>635227.7366531249</v>
      </c>
      <c r="S31" s="4">
        <f t="shared" si="10"/>
        <v>21745370.346418135</v>
      </c>
    </row>
    <row r="32" spans="1:19" ht="10.5">
      <c r="A32" s="5">
        <f t="shared" si="6"/>
        <v>25</v>
      </c>
      <c r="B32" s="5">
        <f t="shared" si="7"/>
        <v>19</v>
      </c>
      <c r="D32" s="127">
        <f>4*Dimensions!$C$102</f>
        <v>0.1016</v>
      </c>
      <c r="E32" s="11">
        <f>Dimensions!$D$26</f>
        <v>2675.6075520000004</v>
      </c>
      <c r="F32" s="3">
        <f t="shared" si="0"/>
        <v>271.84172728320004</v>
      </c>
      <c r="G32" s="11">
        <f>Dimensions!$D$33</f>
        <v>1601.8462667666804</v>
      </c>
      <c r="H32" s="4">
        <f t="shared" si="3"/>
        <v>435448.656</v>
      </c>
      <c r="I32" s="4">
        <f t="shared" si="8"/>
        <v>16547048.927999992</v>
      </c>
      <c r="K32" s="128">
        <f>5*Dimensions!$C$102</f>
        <v>0.127</v>
      </c>
      <c r="L32" s="3">
        <f>Dimensions!$D$27</f>
        <v>654.68772288</v>
      </c>
      <c r="M32" s="3">
        <f t="shared" si="4"/>
        <v>83.14534080576</v>
      </c>
      <c r="N32" s="3">
        <f>Dimensions!$D$34</f>
        <v>2402.7694001500204</v>
      </c>
      <c r="O32" s="4">
        <f t="shared" si="5"/>
        <v>199779.08065312495</v>
      </c>
      <c r="P32" s="4">
        <f t="shared" si="9"/>
        <v>5833549.155071253</v>
      </c>
      <c r="R32" s="4">
        <f t="shared" si="1"/>
        <v>635227.7366531249</v>
      </c>
      <c r="S32" s="4">
        <f t="shared" si="10"/>
        <v>22380598.08307126</v>
      </c>
    </row>
    <row r="33" spans="1:19" ht="10.5">
      <c r="A33" s="5">
        <f t="shared" si="6"/>
        <v>26</v>
      </c>
      <c r="B33" s="5">
        <f t="shared" si="7"/>
        <v>20</v>
      </c>
      <c r="D33" s="127">
        <f>4*Dimensions!$C$102</f>
        <v>0.1016</v>
      </c>
      <c r="E33" s="11">
        <f>Dimensions!$D$26</f>
        <v>2675.6075520000004</v>
      </c>
      <c r="F33" s="3">
        <f t="shared" si="0"/>
        <v>271.84172728320004</v>
      </c>
      <c r="G33" s="11">
        <f>Dimensions!$D$33</f>
        <v>1601.8462667666804</v>
      </c>
      <c r="H33" s="4">
        <f t="shared" si="3"/>
        <v>435448.656</v>
      </c>
      <c r="I33" s="4">
        <f t="shared" si="8"/>
        <v>16982497.58399999</v>
      </c>
      <c r="K33" s="128">
        <f>5*Dimensions!$C$102</f>
        <v>0.127</v>
      </c>
      <c r="L33" s="3">
        <f>Dimensions!$D$27</f>
        <v>654.68772288</v>
      </c>
      <c r="M33" s="3">
        <f t="shared" si="4"/>
        <v>83.14534080576</v>
      </c>
      <c r="N33" s="3">
        <f>Dimensions!$D$34</f>
        <v>2402.7694001500204</v>
      </c>
      <c r="O33" s="4">
        <f t="shared" si="5"/>
        <v>199779.08065312495</v>
      </c>
      <c r="P33" s="4">
        <f t="shared" si="9"/>
        <v>6033328.235724378</v>
      </c>
      <c r="R33" s="4">
        <f t="shared" si="1"/>
        <v>635227.7366531249</v>
      </c>
      <c r="S33" s="4">
        <f t="shared" si="10"/>
        <v>23015825.81972439</v>
      </c>
    </row>
    <row r="34" spans="1:19" ht="10.5">
      <c r="A34" s="5">
        <f t="shared" si="6"/>
        <v>27</v>
      </c>
      <c r="B34" s="5">
        <f t="shared" si="7"/>
        <v>21</v>
      </c>
      <c r="D34" s="127">
        <f>4*Dimensions!$C$102</f>
        <v>0.1016</v>
      </c>
      <c r="E34" s="11">
        <f>Dimensions!$D$26</f>
        <v>2675.6075520000004</v>
      </c>
      <c r="F34" s="3">
        <f t="shared" si="0"/>
        <v>271.84172728320004</v>
      </c>
      <c r="G34" s="11">
        <f>Dimensions!$D$33</f>
        <v>1601.8462667666804</v>
      </c>
      <c r="H34" s="4">
        <f t="shared" si="3"/>
        <v>435448.656</v>
      </c>
      <c r="I34" s="4">
        <f t="shared" si="8"/>
        <v>17417946.23999999</v>
      </c>
      <c r="K34" s="128">
        <f>5*Dimensions!$C$102</f>
        <v>0.127</v>
      </c>
      <c r="L34" s="3">
        <f>Dimensions!$D$27</f>
        <v>654.68772288</v>
      </c>
      <c r="M34" s="3">
        <f t="shared" si="4"/>
        <v>83.14534080576</v>
      </c>
      <c r="N34" s="3">
        <f>Dimensions!$D$34</f>
        <v>2402.7694001500204</v>
      </c>
      <c r="O34" s="4">
        <f t="shared" si="5"/>
        <v>199779.08065312495</v>
      </c>
      <c r="P34" s="4">
        <f t="shared" si="9"/>
        <v>6233107.316377504</v>
      </c>
      <c r="R34" s="4">
        <f t="shared" si="1"/>
        <v>635227.7366531249</v>
      </c>
      <c r="S34" s="4">
        <f t="shared" si="10"/>
        <v>23651053.556377515</v>
      </c>
    </row>
    <row r="35" spans="1:19" ht="10.5">
      <c r="A35" s="5">
        <f t="shared" si="6"/>
        <v>28</v>
      </c>
      <c r="B35" s="5">
        <f t="shared" si="7"/>
        <v>22</v>
      </c>
      <c r="D35" s="127">
        <f>4*Dimensions!$C$102</f>
        <v>0.1016</v>
      </c>
      <c r="E35" s="11">
        <f>Dimensions!$D$26</f>
        <v>2675.6075520000004</v>
      </c>
      <c r="F35" s="3">
        <f t="shared" si="0"/>
        <v>271.84172728320004</v>
      </c>
      <c r="G35" s="11">
        <f>Dimensions!$D$33</f>
        <v>1601.8462667666804</v>
      </c>
      <c r="H35" s="4">
        <f t="shared" si="3"/>
        <v>435448.656</v>
      </c>
      <c r="I35" s="4">
        <f t="shared" si="8"/>
        <v>17853394.89599999</v>
      </c>
      <c r="K35" s="128">
        <f>5*Dimensions!$C$102</f>
        <v>0.127</v>
      </c>
      <c r="L35" s="3">
        <f>Dimensions!$D$27</f>
        <v>654.68772288</v>
      </c>
      <c r="M35" s="3">
        <f t="shared" si="4"/>
        <v>83.14534080576</v>
      </c>
      <c r="N35" s="3">
        <f>Dimensions!$D$34</f>
        <v>2402.7694001500204</v>
      </c>
      <c r="O35" s="4">
        <f t="shared" si="5"/>
        <v>199779.08065312495</v>
      </c>
      <c r="P35" s="4">
        <f t="shared" si="9"/>
        <v>6432886.397030629</v>
      </c>
      <c r="R35" s="4">
        <f t="shared" si="1"/>
        <v>635227.7366531249</v>
      </c>
      <c r="S35" s="4">
        <f t="shared" si="10"/>
        <v>24286281.293030642</v>
      </c>
    </row>
    <row r="36" spans="1:19" ht="10.5">
      <c r="A36" s="5">
        <f t="shared" si="6"/>
        <v>29</v>
      </c>
      <c r="B36" s="5">
        <f t="shared" si="7"/>
        <v>23</v>
      </c>
      <c r="D36" s="127">
        <f>4*Dimensions!$C$102</f>
        <v>0.1016</v>
      </c>
      <c r="E36" s="11">
        <f>Dimensions!$D$26</f>
        <v>2675.6075520000004</v>
      </c>
      <c r="F36" s="3">
        <f t="shared" si="0"/>
        <v>271.84172728320004</v>
      </c>
      <c r="G36" s="11">
        <f>Dimensions!$D$33</f>
        <v>1601.8462667666804</v>
      </c>
      <c r="H36" s="4">
        <f t="shared" si="3"/>
        <v>435448.656</v>
      </c>
      <c r="I36" s="4">
        <f t="shared" si="8"/>
        <v>18288843.55199999</v>
      </c>
      <c r="K36" s="128">
        <f>5*Dimensions!$C$102</f>
        <v>0.127</v>
      </c>
      <c r="L36" s="3">
        <f>Dimensions!$D$27</f>
        <v>654.68772288</v>
      </c>
      <c r="M36" s="3">
        <f t="shared" si="4"/>
        <v>83.14534080576</v>
      </c>
      <c r="N36" s="3">
        <f>Dimensions!$D$34</f>
        <v>2402.7694001500204</v>
      </c>
      <c r="O36" s="4">
        <f t="shared" si="5"/>
        <v>199779.08065312495</v>
      </c>
      <c r="P36" s="4">
        <f t="shared" si="9"/>
        <v>6632665.477683755</v>
      </c>
      <c r="R36" s="4">
        <f t="shared" si="1"/>
        <v>635227.7366531249</v>
      </c>
      <c r="S36" s="4">
        <f t="shared" si="10"/>
        <v>24921509.02968377</v>
      </c>
    </row>
    <row r="37" spans="1:19" ht="10.5">
      <c r="A37" s="5">
        <f t="shared" si="6"/>
        <v>30</v>
      </c>
      <c r="B37" s="5">
        <f t="shared" si="7"/>
        <v>24</v>
      </c>
      <c r="D37" s="127">
        <f>4*Dimensions!$C$102</f>
        <v>0.1016</v>
      </c>
      <c r="E37" s="11">
        <f>Dimensions!$D$26</f>
        <v>2675.6075520000004</v>
      </c>
      <c r="F37" s="3">
        <f t="shared" si="0"/>
        <v>271.84172728320004</v>
      </c>
      <c r="G37" s="11">
        <f>Dimensions!$D$33</f>
        <v>1601.8462667666804</v>
      </c>
      <c r="H37" s="4">
        <f t="shared" si="3"/>
        <v>435448.656</v>
      </c>
      <c r="I37" s="4">
        <f t="shared" si="8"/>
        <v>18724292.20799999</v>
      </c>
      <c r="K37" s="128">
        <f>5*Dimensions!$C$102</f>
        <v>0.127</v>
      </c>
      <c r="L37" s="3">
        <f>Dimensions!$D$27</f>
        <v>654.68772288</v>
      </c>
      <c r="M37" s="3">
        <f t="shared" si="4"/>
        <v>83.14534080576</v>
      </c>
      <c r="N37" s="3">
        <f>Dimensions!$D$34</f>
        <v>2402.7694001500204</v>
      </c>
      <c r="O37" s="4">
        <f t="shared" si="5"/>
        <v>199779.08065312495</v>
      </c>
      <c r="P37" s="4">
        <f t="shared" si="9"/>
        <v>6832444.55833688</v>
      </c>
      <c r="R37" s="4">
        <f t="shared" si="1"/>
        <v>635227.7366531249</v>
      </c>
      <c r="S37" s="4">
        <f t="shared" si="10"/>
        <v>25556736.766336896</v>
      </c>
    </row>
    <row r="38" spans="1:19" ht="10.5">
      <c r="A38" s="5">
        <f t="shared" si="6"/>
        <v>31</v>
      </c>
      <c r="B38" s="5">
        <f t="shared" si="7"/>
        <v>25</v>
      </c>
      <c r="D38" s="127">
        <f>4*Dimensions!$C$102</f>
        <v>0.1016</v>
      </c>
      <c r="E38" s="11">
        <f>Dimensions!$D$26</f>
        <v>2675.6075520000004</v>
      </c>
      <c r="F38" s="3">
        <f t="shared" si="0"/>
        <v>271.84172728320004</v>
      </c>
      <c r="G38" s="11">
        <f>Dimensions!$D$33</f>
        <v>1601.8462667666804</v>
      </c>
      <c r="H38" s="4">
        <f t="shared" si="3"/>
        <v>435448.656</v>
      </c>
      <c r="I38" s="4">
        <f t="shared" si="8"/>
        <v>19159740.86399999</v>
      </c>
      <c r="K38" s="128">
        <f>5*Dimensions!$C$102</f>
        <v>0.127</v>
      </c>
      <c r="L38" s="3">
        <f>Dimensions!$D$27</f>
        <v>654.68772288</v>
      </c>
      <c r="M38" s="3">
        <f t="shared" si="4"/>
        <v>83.14534080576</v>
      </c>
      <c r="N38" s="3">
        <f>Dimensions!$D$34</f>
        <v>2402.7694001500204</v>
      </c>
      <c r="O38" s="4">
        <f t="shared" si="5"/>
        <v>199779.08065312495</v>
      </c>
      <c r="P38" s="4">
        <f t="shared" si="9"/>
        <v>7032223.6389900055</v>
      </c>
      <c r="R38" s="4">
        <f t="shared" si="1"/>
        <v>635227.7366531249</v>
      </c>
      <c r="S38" s="4">
        <f t="shared" si="10"/>
        <v>26191964.502990022</v>
      </c>
    </row>
    <row r="39" spans="1:19" ht="10.5">
      <c r="A39" s="5">
        <f t="shared" si="6"/>
        <v>32</v>
      </c>
      <c r="B39" s="5">
        <f t="shared" si="7"/>
        <v>26</v>
      </c>
      <c r="D39" s="127">
        <f>4*Dimensions!$C$102</f>
        <v>0.1016</v>
      </c>
      <c r="E39" s="11">
        <f>Dimensions!$D$26</f>
        <v>2675.6075520000004</v>
      </c>
      <c r="F39" s="3">
        <f t="shared" si="0"/>
        <v>271.84172728320004</v>
      </c>
      <c r="G39" s="11">
        <f>Dimensions!$D$33</f>
        <v>1601.8462667666804</v>
      </c>
      <c r="H39" s="4">
        <f t="shared" si="3"/>
        <v>435448.656</v>
      </c>
      <c r="I39" s="4">
        <f t="shared" si="8"/>
        <v>19595189.51999999</v>
      </c>
      <c r="K39" s="128">
        <f>5*Dimensions!$C$102</f>
        <v>0.127</v>
      </c>
      <c r="L39" s="3">
        <f>Dimensions!$D$27</f>
        <v>654.68772288</v>
      </c>
      <c r="M39" s="3">
        <f t="shared" si="4"/>
        <v>83.14534080576</v>
      </c>
      <c r="N39" s="3">
        <f>Dimensions!$D$34</f>
        <v>2402.7694001500204</v>
      </c>
      <c r="O39" s="4">
        <f t="shared" si="5"/>
        <v>199779.08065312495</v>
      </c>
      <c r="P39" s="4">
        <f t="shared" si="9"/>
        <v>7232002.719643131</v>
      </c>
      <c r="R39" s="4">
        <f t="shared" si="1"/>
        <v>635227.7366531249</v>
      </c>
      <c r="S39" s="4">
        <f t="shared" si="10"/>
        <v>26827192.23964315</v>
      </c>
    </row>
    <row r="40" spans="1:19" ht="10.5">
      <c r="A40" s="5">
        <f t="shared" si="6"/>
        <v>33</v>
      </c>
      <c r="B40" s="5">
        <f t="shared" si="7"/>
        <v>27</v>
      </c>
      <c r="D40" s="127">
        <f>4*Dimensions!$C$102</f>
        <v>0.1016</v>
      </c>
      <c r="E40" s="11">
        <f>Dimensions!$D$26</f>
        <v>2675.6075520000004</v>
      </c>
      <c r="F40" s="3">
        <f aca="true" t="shared" si="11" ref="F40:F71">E40*D40</f>
        <v>271.84172728320004</v>
      </c>
      <c r="G40" s="11">
        <f>Dimensions!$D$33</f>
        <v>1601.8462667666804</v>
      </c>
      <c r="H40" s="4">
        <f t="shared" si="3"/>
        <v>435448.656</v>
      </c>
      <c r="I40" s="4">
        <f t="shared" si="8"/>
        <v>20030638.175999988</v>
      </c>
      <c r="K40" s="128">
        <f>5*Dimensions!$C$102</f>
        <v>0.127</v>
      </c>
      <c r="L40" s="3">
        <f>Dimensions!$D$27</f>
        <v>654.68772288</v>
      </c>
      <c r="M40" s="3">
        <f t="shared" si="4"/>
        <v>83.14534080576</v>
      </c>
      <c r="N40" s="3">
        <f>Dimensions!$D$34</f>
        <v>2402.7694001500204</v>
      </c>
      <c r="O40" s="4">
        <f t="shared" si="5"/>
        <v>199779.08065312495</v>
      </c>
      <c r="P40" s="4">
        <f t="shared" si="9"/>
        <v>7431781.800296256</v>
      </c>
      <c r="R40" s="4">
        <f aca="true" t="shared" si="12" ref="R40:R71">H40+O40</f>
        <v>635227.7366531249</v>
      </c>
      <c r="S40" s="4">
        <f t="shared" si="10"/>
        <v>27462419.976296276</v>
      </c>
    </row>
    <row r="41" spans="1:19" ht="10.5">
      <c r="A41" s="5">
        <f t="shared" si="6"/>
        <v>34</v>
      </c>
      <c r="B41" s="5">
        <f t="shared" si="7"/>
        <v>28</v>
      </c>
      <c r="D41" s="127">
        <f>4*Dimensions!$C$102</f>
        <v>0.1016</v>
      </c>
      <c r="E41" s="11">
        <f>Dimensions!$D$26</f>
        <v>2675.6075520000004</v>
      </c>
      <c r="F41" s="3">
        <f t="shared" si="11"/>
        <v>271.84172728320004</v>
      </c>
      <c r="G41" s="11">
        <f>Dimensions!$D$33</f>
        <v>1601.8462667666804</v>
      </c>
      <c r="H41" s="4">
        <f t="shared" si="3"/>
        <v>435448.656</v>
      </c>
      <c r="I41" s="4">
        <f t="shared" si="8"/>
        <v>20466086.831999987</v>
      </c>
      <c r="K41" s="128">
        <f>5*Dimensions!$C$102</f>
        <v>0.127</v>
      </c>
      <c r="L41" s="3">
        <f>Dimensions!$D$27</f>
        <v>654.68772288</v>
      </c>
      <c r="M41" s="3">
        <f t="shared" si="4"/>
        <v>83.14534080576</v>
      </c>
      <c r="N41" s="3">
        <f>Dimensions!$D$34</f>
        <v>2402.7694001500204</v>
      </c>
      <c r="O41" s="4">
        <f t="shared" si="5"/>
        <v>199779.08065312495</v>
      </c>
      <c r="P41" s="4">
        <f t="shared" si="9"/>
        <v>7631560.880949382</v>
      </c>
      <c r="R41" s="4">
        <f t="shared" si="12"/>
        <v>635227.7366531249</v>
      </c>
      <c r="S41" s="4">
        <f t="shared" si="10"/>
        <v>28097647.712949403</v>
      </c>
    </row>
    <row r="42" spans="1:19" ht="10.5">
      <c r="A42" s="5">
        <f t="shared" si="6"/>
        <v>35</v>
      </c>
      <c r="B42" s="5">
        <f t="shared" si="7"/>
        <v>29</v>
      </c>
      <c r="D42" s="127">
        <f>4*Dimensions!$C$102</f>
        <v>0.1016</v>
      </c>
      <c r="E42" s="11">
        <f>Dimensions!$D$26</f>
        <v>2675.6075520000004</v>
      </c>
      <c r="F42" s="3">
        <f t="shared" si="11"/>
        <v>271.84172728320004</v>
      </c>
      <c r="G42" s="11">
        <f>Dimensions!$D$33</f>
        <v>1601.8462667666804</v>
      </c>
      <c r="H42" s="4">
        <f t="shared" si="3"/>
        <v>435448.656</v>
      </c>
      <c r="I42" s="4">
        <f t="shared" si="8"/>
        <v>20901535.487999987</v>
      </c>
      <c r="K42" s="128">
        <f>5*Dimensions!$C$102</f>
        <v>0.127</v>
      </c>
      <c r="L42" s="3">
        <f>Dimensions!$D$27</f>
        <v>654.68772288</v>
      </c>
      <c r="M42" s="3">
        <f t="shared" si="4"/>
        <v>83.14534080576</v>
      </c>
      <c r="N42" s="3">
        <f>Dimensions!$D$34</f>
        <v>2402.7694001500204</v>
      </c>
      <c r="O42" s="4">
        <f t="shared" si="5"/>
        <v>199779.08065312495</v>
      </c>
      <c r="P42" s="4">
        <f t="shared" si="9"/>
        <v>7831339.961602507</v>
      </c>
      <c r="R42" s="4">
        <f t="shared" si="12"/>
        <v>635227.7366531249</v>
      </c>
      <c r="S42" s="4">
        <f t="shared" si="10"/>
        <v>28732875.44960253</v>
      </c>
    </row>
    <row r="43" spans="1:19" ht="10.5">
      <c r="A43" s="5">
        <f t="shared" si="6"/>
        <v>36</v>
      </c>
      <c r="B43" s="5">
        <f t="shared" si="7"/>
        <v>30</v>
      </c>
      <c r="D43" s="127">
        <f>4*Dimensions!$C$102</f>
        <v>0.1016</v>
      </c>
      <c r="E43" s="11">
        <f>Dimensions!$D$26</f>
        <v>2675.6075520000004</v>
      </c>
      <c r="F43" s="3">
        <f t="shared" si="11"/>
        <v>271.84172728320004</v>
      </c>
      <c r="G43" s="11">
        <f>Dimensions!$D$33</f>
        <v>1601.8462667666804</v>
      </c>
      <c r="H43" s="4">
        <f t="shared" si="3"/>
        <v>435448.656</v>
      </c>
      <c r="I43" s="4">
        <f t="shared" si="8"/>
        <v>21336984.143999986</v>
      </c>
      <c r="K43" s="128">
        <f>5*Dimensions!$C$102</f>
        <v>0.127</v>
      </c>
      <c r="L43" s="3">
        <f>Dimensions!$D$27</f>
        <v>654.68772288</v>
      </c>
      <c r="M43" s="3">
        <f t="shared" si="4"/>
        <v>83.14534080576</v>
      </c>
      <c r="N43" s="3">
        <f>Dimensions!$D$34</f>
        <v>2402.7694001500204</v>
      </c>
      <c r="O43" s="4">
        <f t="shared" si="5"/>
        <v>199779.08065312495</v>
      </c>
      <c r="P43" s="4">
        <f t="shared" si="9"/>
        <v>8031119.042255633</v>
      </c>
      <c r="R43" s="4">
        <f t="shared" si="12"/>
        <v>635227.7366531249</v>
      </c>
      <c r="S43" s="4">
        <f t="shared" si="10"/>
        <v>29368103.186255656</v>
      </c>
    </row>
    <row r="44" spans="1:19" ht="10.5">
      <c r="A44" s="5">
        <f t="shared" si="6"/>
        <v>37</v>
      </c>
      <c r="B44" s="5">
        <f t="shared" si="7"/>
        <v>31</v>
      </c>
      <c r="D44" s="127">
        <f>4*Dimensions!$C$102</f>
        <v>0.1016</v>
      </c>
      <c r="E44" s="11">
        <f>Dimensions!$D$26</f>
        <v>2675.6075520000004</v>
      </c>
      <c r="F44" s="3">
        <f t="shared" si="11"/>
        <v>271.84172728320004</v>
      </c>
      <c r="G44" s="11">
        <f>Dimensions!$D$33</f>
        <v>1601.8462667666804</v>
      </c>
      <c r="H44" s="4">
        <f t="shared" si="3"/>
        <v>435448.656</v>
      </c>
      <c r="I44" s="4">
        <f t="shared" si="8"/>
        <v>21772432.799999986</v>
      </c>
      <c r="K44" s="128">
        <f>5*Dimensions!$C$102</f>
        <v>0.127</v>
      </c>
      <c r="L44" s="3">
        <f>Dimensions!$D$27</f>
        <v>654.68772288</v>
      </c>
      <c r="M44" s="3">
        <f t="shared" si="4"/>
        <v>83.14534080576</v>
      </c>
      <c r="N44" s="3">
        <f>Dimensions!$D$34</f>
        <v>2402.7694001500204</v>
      </c>
      <c r="O44" s="4">
        <f t="shared" si="5"/>
        <v>199779.08065312495</v>
      </c>
      <c r="P44" s="4">
        <f t="shared" si="9"/>
        <v>8230898.122908758</v>
      </c>
      <c r="R44" s="4">
        <f t="shared" si="12"/>
        <v>635227.7366531249</v>
      </c>
      <c r="S44" s="4">
        <f t="shared" si="10"/>
        <v>30003330.922908783</v>
      </c>
    </row>
    <row r="45" spans="1:19" ht="10.5">
      <c r="A45" s="5">
        <f t="shared" si="6"/>
        <v>38</v>
      </c>
      <c r="B45" s="5">
        <f t="shared" si="7"/>
        <v>32</v>
      </c>
      <c r="D45" s="127">
        <f>4*Dimensions!$C$102</f>
        <v>0.1016</v>
      </c>
      <c r="E45" s="11">
        <f>Dimensions!$D$26</f>
        <v>2675.6075520000004</v>
      </c>
      <c r="F45" s="3">
        <f t="shared" si="11"/>
        <v>271.84172728320004</v>
      </c>
      <c r="G45" s="11">
        <f>Dimensions!$D$33</f>
        <v>1601.8462667666804</v>
      </c>
      <c r="H45" s="4">
        <f t="shared" si="3"/>
        <v>435448.656</v>
      </c>
      <c r="I45" s="4">
        <f t="shared" si="8"/>
        <v>22207881.455999985</v>
      </c>
      <c r="K45" s="128">
        <f>5*Dimensions!$C$102</f>
        <v>0.127</v>
      </c>
      <c r="L45" s="3">
        <f>Dimensions!$D$27</f>
        <v>654.68772288</v>
      </c>
      <c r="M45" s="3">
        <f t="shared" si="4"/>
        <v>83.14534080576</v>
      </c>
      <c r="N45" s="3">
        <f>Dimensions!$D$34</f>
        <v>2402.7694001500204</v>
      </c>
      <c r="O45" s="4">
        <f t="shared" si="5"/>
        <v>199779.08065312495</v>
      </c>
      <c r="P45" s="4">
        <f t="shared" si="9"/>
        <v>8430677.203561883</v>
      </c>
      <c r="R45" s="4">
        <f t="shared" si="12"/>
        <v>635227.7366531249</v>
      </c>
      <c r="S45" s="4">
        <f t="shared" si="10"/>
        <v>30638558.65956191</v>
      </c>
    </row>
    <row r="46" spans="1:19" ht="10.5">
      <c r="A46" s="5">
        <f t="shared" si="6"/>
        <v>39</v>
      </c>
      <c r="B46" s="5">
        <f t="shared" si="7"/>
        <v>33</v>
      </c>
      <c r="D46" s="127">
        <f>4*Dimensions!$C$102</f>
        <v>0.1016</v>
      </c>
      <c r="E46" s="11">
        <f>Dimensions!$D$26</f>
        <v>2675.6075520000004</v>
      </c>
      <c r="F46" s="3">
        <f t="shared" si="11"/>
        <v>271.84172728320004</v>
      </c>
      <c r="G46" s="11">
        <f>Dimensions!$D$33</f>
        <v>1601.8462667666804</v>
      </c>
      <c r="H46" s="4">
        <f t="shared" si="3"/>
        <v>435448.656</v>
      </c>
      <c r="I46" s="4">
        <f t="shared" si="8"/>
        <v>22643330.111999985</v>
      </c>
      <c r="K46" s="128">
        <f>5*Dimensions!$C$102</f>
        <v>0.127</v>
      </c>
      <c r="L46" s="3">
        <f>Dimensions!$D$27</f>
        <v>654.68772288</v>
      </c>
      <c r="M46" s="3">
        <f t="shared" si="4"/>
        <v>83.14534080576</v>
      </c>
      <c r="N46" s="3">
        <f>Dimensions!$D$34</f>
        <v>2402.7694001500204</v>
      </c>
      <c r="O46" s="4">
        <f t="shared" si="5"/>
        <v>199779.08065312495</v>
      </c>
      <c r="P46" s="4">
        <f t="shared" si="9"/>
        <v>8630456.284215009</v>
      </c>
      <c r="R46" s="4">
        <f t="shared" si="12"/>
        <v>635227.7366531249</v>
      </c>
      <c r="S46" s="4">
        <f t="shared" si="10"/>
        <v>31273786.396215037</v>
      </c>
    </row>
    <row r="47" spans="1:19" ht="10.5">
      <c r="A47" s="5">
        <f t="shared" si="6"/>
        <v>40</v>
      </c>
      <c r="B47" s="5">
        <f t="shared" si="7"/>
        <v>34</v>
      </c>
      <c r="D47" s="127">
        <f>4*Dimensions!$C$102</f>
        <v>0.1016</v>
      </c>
      <c r="E47" s="11">
        <f>Dimensions!$D$26</f>
        <v>2675.6075520000004</v>
      </c>
      <c r="F47" s="3">
        <f t="shared" si="11"/>
        <v>271.84172728320004</v>
      </c>
      <c r="G47" s="11">
        <f>Dimensions!$D$33</f>
        <v>1601.8462667666804</v>
      </c>
      <c r="H47" s="4">
        <f t="shared" si="3"/>
        <v>435448.656</v>
      </c>
      <c r="I47" s="4">
        <f t="shared" si="8"/>
        <v>23078778.767999984</v>
      </c>
      <c r="K47" s="128">
        <f>5*Dimensions!$C$102</f>
        <v>0.127</v>
      </c>
      <c r="L47" s="3">
        <f>Dimensions!$D$27</f>
        <v>654.68772288</v>
      </c>
      <c r="M47" s="3">
        <f t="shared" si="4"/>
        <v>83.14534080576</v>
      </c>
      <c r="N47" s="3">
        <f>Dimensions!$D$34</f>
        <v>2402.7694001500204</v>
      </c>
      <c r="O47" s="4">
        <f t="shared" si="5"/>
        <v>199779.08065312495</v>
      </c>
      <c r="P47" s="4">
        <f t="shared" si="9"/>
        <v>8830235.364868134</v>
      </c>
      <c r="R47" s="4">
        <f t="shared" si="12"/>
        <v>635227.7366531249</v>
      </c>
      <c r="S47" s="4">
        <f t="shared" si="10"/>
        <v>31909014.132868163</v>
      </c>
    </row>
    <row r="48" spans="1:19" ht="10.5">
      <c r="A48" s="5">
        <f t="shared" si="6"/>
        <v>41</v>
      </c>
      <c r="B48" s="5">
        <f t="shared" si="7"/>
        <v>35</v>
      </c>
      <c r="D48" s="127">
        <f>4*Dimensions!$C$102</f>
        <v>0.1016</v>
      </c>
      <c r="E48" s="11">
        <f>Dimensions!$D$26</f>
        <v>2675.6075520000004</v>
      </c>
      <c r="F48" s="3">
        <f t="shared" si="11"/>
        <v>271.84172728320004</v>
      </c>
      <c r="G48" s="11">
        <f>Dimensions!$D$33</f>
        <v>1601.8462667666804</v>
      </c>
      <c r="H48" s="4">
        <f t="shared" si="3"/>
        <v>435448.656</v>
      </c>
      <c r="I48" s="4">
        <f t="shared" si="8"/>
        <v>23514227.423999984</v>
      </c>
      <c r="K48" s="128">
        <f>5*Dimensions!$C$102</f>
        <v>0.127</v>
      </c>
      <c r="L48" s="3">
        <f>Dimensions!$D$27</f>
        <v>654.68772288</v>
      </c>
      <c r="M48" s="3">
        <f t="shared" si="4"/>
        <v>83.14534080576</v>
      </c>
      <c r="N48" s="3">
        <f>Dimensions!$D$34</f>
        <v>2402.7694001500204</v>
      </c>
      <c r="O48" s="4">
        <f t="shared" si="5"/>
        <v>199779.08065312495</v>
      </c>
      <c r="P48" s="4">
        <f t="shared" si="9"/>
        <v>9030014.44552126</v>
      </c>
      <c r="R48" s="4">
        <f t="shared" si="12"/>
        <v>635227.7366531249</v>
      </c>
      <c r="S48" s="4">
        <f t="shared" si="10"/>
        <v>32544241.86952129</v>
      </c>
    </row>
    <row r="49" spans="1:19" ht="10.5">
      <c r="A49" s="5">
        <f t="shared" si="6"/>
        <v>42</v>
      </c>
      <c r="B49" s="5">
        <f t="shared" si="7"/>
        <v>36</v>
      </c>
      <c r="D49" s="127">
        <f>4*Dimensions!$C$102</f>
        <v>0.1016</v>
      </c>
      <c r="E49" s="11">
        <f>Dimensions!$D$26</f>
        <v>2675.6075520000004</v>
      </c>
      <c r="F49" s="3">
        <f t="shared" si="11"/>
        <v>271.84172728320004</v>
      </c>
      <c r="G49" s="11">
        <f>Dimensions!$D$33</f>
        <v>1601.8462667666804</v>
      </c>
      <c r="H49" s="4">
        <f t="shared" si="3"/>
        <v>435448.656</v>
      </c>
      <c r="I49" s="4">
        <f t="shared" si="8"/>
        <v>23949676.079999983</v>
      </c>
      <c r="K49" s="128">
        <f>5*Dimensions!$C$102</f>
        <v>0.127</v>
      </c>
      <c r="L49" s="3">
        <f>Dimensions!$D$27</f>
        <v>654.68772288</v>
      </c>
      <c r="M49" s="3">
        <f t="shared" si="4"/>
        <v>83.14534080576</v>
      </c>
      <c r="N49" s="3">
        <f>Dimensions!$D$34</f>
        <v>2402.7694001500204</v>
      </c>
      <c r="O49" s="4">
        <f t="shared" si="5"/>
        <v>199779.08065312495</v>
      </c>
      <c r="P49" s="4">
        <f t="shared" si="9"/>
        <v>9229793.526174385</v>
      </c>
      <c r="R49" s="4">
        <f t="shared" si="12"/>
        <v>635227.7366531249</v>
      </c>
      <c r="S49" s="4">
        <f t="shared" si="10"/>
        <v>33179469.606174417</v>
      </c>
    </row>
    <row r="50" spans="1:19" ht="10.5">
      <c r="A50" s="5">
        <f t="shared" si="6"/>
        <v>43</v>
      </c>
      <c r="B50" s="5">
        <f t="shared" si="7"/>
        <v>37</v>
      </c>
      <c r="D50" s="127">
        <f>4*Dimensions!$C$102</f>
        <v>0.1016</v>
      </c>
      <c r="E50" s="11">
        <f>Dimensions!$D$26</f>
        <v>2675.6075520000004</v>
      </c>
      <c r="F50" s="3">
        <f t="shared" si="11"/>
        <v>271.84172728320004</v>
      </c>
      <c r="G50" s="11">
        <f>Dimensions!$D$33</f>
        <v>1601.8462667666804</v>
      </c>
      <c r="H50" s="4">
        <f t="shared" si="3"/>
        <v>435448.656</v>
      </c>
      <c r="I50" s="4">
        <f t="shared" si="8"/>
        <v>24385124.735999983</v>
      </c>
      <c r="K50" s="128">
        <f>5*Dimensions!$C$102</f>
        <v>0.127</v>
      </c>
      <c r="L50" s="3">
        <f>Dimensions!$D$27</f>
        <v>654.68772288</v>
      </c>
      <c r="M50" s="3">
        <f t="shared" si="4"/>
        <v>83.14534080576</v>
      </c>
      <c r="N50" s="3">
        <f>Dimensions!$D$34</f>
        <v>2402.7694001500204</v>
      </c>
      <c r="O50" s="4">
        <f t="shared" si="5"/>
        <v>199779.08065312495</v>
      </c>
      <c r="P50" s="4">
        <f t="shared" si="9"/>
        <v>9429572.60682751</v>
      </c>
      <c r="R50" s="4">
        <f t="shared" si="12"/>
        <v>635227.7366531249</v>
      </c>
      <c r="S50" s="4">
        <f t="shared" si="10"/>
        <v>33814697.34282754</v>
      </c>
    </row>
    <row r="51" spans="1:19" ht="10.5">
      <c r="A51" s="5">
        <f t="shared" si="6"/>
        <v>44</v>
      </c>
      <c r="B51" s="5">
        <f t="shared" si="7"/>
        <v>38</v>
      </c>
      <c r="D51" s="127">
        <f>4*Dimensions!$C$102</f>
        <v>0.1016</v>
      </c>
      <c r="E51" s="11">
        <f>Dimensions!$D$26</f>
        <v>2675.6075520000004</v>
      </c>
      <c r="F51" s="3">
        <f t="shared" si="11"/>
        <v>271.84172728320004</v>
      </c>
      <c r="G51" s="11">
        <f>Dimensions!$D$33</f>
        <v>1601.8462667666804</v>
      </c>
      <c r="H51" s="4">
        <f t="shared" si="3"/>
        <v>435448.656</v>
      </c>
      <c r="I51" s="4">
        <f t="shared" si="8"/>
        <v>24820573.391999982</v>
      </c>
      <c r="K51" s="128">
        <f>5*Dimensions!$C$102</f>
        <v>0.127</v>
      </c>
      <c r="L51" s="3">
        <f>Dimensions!$D$27</f>
        <v>654.68772288</v>
      </c>
      <c r="M51" s="3">
        <f t="shared" si="4"/>
        <v>83.14534080576</v>
      </c>
      <c r="N51" s="3">
        <f>Dimensions!$D$34</f>
        <v>2402.7694001500204</v>
      </c>
      <c r="O51" s="4">
        <f t="shared" si="5"/>
        <v>199779.08065312495</v>
      </c>
      <c r="P51" s="4">
        <f t="shared" si="9"/>
        <v>9629351.687480636</v>
      </c>
      <c r="R51" s="4">
        <f t="shared" si="12"/>
        <v>635227.7366531249</v>
      </c>
      <c r="S51" s="4">
        <f t="shared" si="10"/>
        <v>34449925.07948067</v>
      </c>
    </row>
    <row r="52" spans="1:19" ht="10.5">
      <c r="A52" s="5">
        <f t="shared" si="6"/>
        <v>45</v>
      </c>
      <c r="B52" s="5">
        <f t="shared" si="7"/>
        <v>39</v>
      </c>
      <c r="D52" s="127">
        <f>4*Dimensions!$C$102</f>
        <v>0.1016</v>
      </c>
      <c r="E52" s="11">
        <f>Dimensions!$D$26</f>
        <v>2675.6075520000004</v>
      </c>
      <c r="F52" s="3">
        <f t="shared" si="11"/>
        <v>271.84172728320004</v>
      </c>
      <c r="G52" s="11">
        <f>Dimensions!$D$33</f>
        <v>1601.8462667666804</v>
      </c>
      <c r="H52" s="4">
        <f t="shared" si="3"/>
        <v>435448.656</v>
      </c>
      <c r="I52" s="4">
        <f t="shared" si="8"/>
        <v>25256022.04799998</v>
      </c>
      <c r="K52" s="128">
        <f>5*Dimensions!$C$102</f>
        <v>0.127</v>
      </c>
      <c r="L52" s="3">
        <f>Dimensions!$D$27</f>
        <v>654.68772288</v>
      </c>
      <c r="M52" s="3">
        <f t="shared" si="4"/>
        <v>83.14534080576</v>
      </c>
      <c r="N52" s="3">
        <f>Dimensions!$D$34</f>
        <v>2402.7694001500204</v>
      </c>
      <c r="O52" s="4">
        <f t="shared" si="5"/>
        <v>199779.08065312495</v>
      </c>
      <c r="P52" s="4">
        <f t="shared" si="9"/>
        <v>9829130.768133761</v>
      </c>
      <c r="R52" s="4">
        <f t="shared" si="12"/>
        <v>635227.7366531249</v>
      </c>
      <c r="S52" s="4">
        <f t="shared" si="10"/>
        <v>35085152.8161338</v>
      </c>
    </row>
    <row r="53" spans="1:19" ht="10.5">
      <c r="A53" s="5">
        <f t="shared" si="6"/>
        <v>46</v>
      </c>
      <c r="B53" s="5">
        <f t="shared" si="7"/>
        <v>40</v>
      </c>
      <c r="D53" s="127">
        <f>4*Dimensions!$C$102</f>
        <v>0.1016</v>
      </c>
      <c r="E53" s="11">
        <f>Dimensions!$D$26</f>
        <v>2675.6075520000004</v>
      </c>
      <c r="F53" s="3">
        <f t="shared" si="11"/>
        <v>271.84172728320004</v>
      </c>
      <c r="G53" s="11">
        <f>Dimensions!$D$33</f>
        <v>1601.8462667666804</v>
      </c>
      <c r="H53" s="4">
        <f t="shared" si="3"/>
        <v>435448.656</v>
      </c>
      <c r="I53" s="4">
        <f t="shared" si="8"/>
        <v>25691470.70399998</v>
      </c>
      <c r="K53" s="128">
        <f>5*Dimensions!$C$102</f>
        <v>0.127</v>
      </c>
      <c r="L53" s="3">
        <f>Dimensions!$D$27</f>
        <v>654.68772288</v>
      </c>
      <c r="M53" s="3">
        <f t="shared" si="4"/>
        <v>83.14534080576</v>
      </c>
      <c r="N53" s="3">
        <f>Dimensions!$D$34</f>
        <v>2402.7694001500204</v>
      </c>
      <c r="O53" s="4">
        <f t="shared" si="5"/>
        <v>199779.08065312495</v>
      </c>
      <c r="P53" s="4">
        <f t="shared" si="9"/>
        <v>10028909.848786887</v>
      </c>
      <c r="R53" s="4">
        <f t="shared" si="12"/>
        <v>635227.7366531249</v>
      </c>
      <c r="S53" s="4">
        <f t="shared" si="10"/>
        <v>35720380.552786924</v>
      </c>
    </row>
    <row r="54" spans="1:19" ht="10.5">
      <c r="A54" s="5">
        <f t="shared" si="6"/>
        <v>47</v>
      </c>
      <c r="B54" s="5">
        <f t="shared" si="7"/>
        <v>41</v>
      </c>
      <c r="D54" s="126">
        <f>6.1*Dimensions!$C$102</f>
        <v>0.15494</v>
      </c>
      <c r="E54" s="11">
        <f>Dimensions!$D$26</f>
        <v>2675.6075520000004</v>
      </c>
      <c r="F54" s="3">
        <f t="shared" si="11"/>
        <v>414.55863410688005</v>
      </c>
      <c r="G54" s="3">
        <f>Dimensions!$D$34</f>
        <v>2402.7694001500204</v>
      </c>
      <c r="H54" s="4">
        <f t="shared" si="3"/>
        <v>996088.8006</v>
      </c>
      <c r="I54" s="4">
        <f t="shared" si="8"/>
        <v>26687559.50459998</v>
      </c>
      <c r="K54" s="125">
        <f>8*Dimensions!$C$102</f>
        <v>0.2032</v>
      </c>
      <c r="L54" s="3">
        <f>Dimensions!$D$27</f>
        <v>654.68772288</v>
      </c>
      <c r="M54" s="3">
        <f t="shared" si="4"/>
        <v>133.032545289216</v>
      </c>
      <c r="N54" s="3">
        <f>Dimensions!$D$34</f>
        <v>2402.7694001500204</v>
      </c>
      <c r="O54" s="4">
        <f t="shared" si="5"/>
        <v>319646.5290449999</v>
      </c>
      <c r="P54" s="4">
        <f t="shared" si="9"/>
        <v>10348556.377831887</v>
      </c>
      <c r="R54" s="4">
        <f t="shared" si="12"/>
        <v>1315735.329645</v>
      </c>
      <c r="S54" s="4">
        <f t="shared" si="10"/>
        <v>37036115.882431924</v>
      </c>
    </row>
    <row r="55" spans="1:19" ht="10.5">
      <c r="A55" s="5">
        <f t="shared" si="6"/>
        <v>48</v>
      </c>
      <c r="B55" s="5">
        <f t="shared" si="7"/>
        <v>42</v>
      </c>
      <c r="D55" s="126">
        <f>6.1*Dimensions!$C$102</f>
        <v>0.15494</v>
      </c>
      <c r="E55" s="11">
        <f>Dimensions!$D$26</f>
        <v>2675.6075520000004</v>
      </c>
      <c r="F55" s="3">
        <f t="shared" si="11"/>
        <v>414.55863410688005</v>
      </c>
      <c r="G55" s="3">
        <f>Dimensions!$D$34</f>
        <v>2402.7694001500204</v>
      </c>
      <c r="H55" s="4">
        <f t="shared" si="3"/>
        <v>996088.8006</v>
      </c>
      <c r="I55" s="4">
        <f t="shared" si="8"/>
        <v>27683648.30519998</v>
      </c>
      <c r="K55" s="125">
        <f>8*Dimensions!$C$102</f>
        <v>0.2032</v>
      </c>
      <c r="L55" s="3">
        <f>Dimensions!$D$27</f>
        <v>654.68772288</v>
      </c>
      <c r="M55" s="3">
        <f t="shared" si="4"/>
        <v>133.032545289216</v>
      </c>
      <c r="N55" s="3">
        <f>Dimensions!$D$34</f>
        <v>2402.7694001500204</v>
      </c>
      <c r="O55" s="4">
        <f t="shared" si="5"/>
        <v>319646.5290449999</v>
      </c>
      <c r="P55" s="4">
        <f t="shared" si="9"/>
        <v>10668202.906876888</v>
      </c>
      <c r="R55" s="4">
        <f t="shared" si="12"/>
        <v>1315735.329645</v>
      </c>
      <c r="S55" s="4">
        <f t="shared" si="10"/>
        <v>38351851.212076925</v>
      </c>
    </row>
    <row r="56" spans="1:19" ht="10.5">
      <c r="A56" s="5">
        <f t="shared" si="6"/>
        <v>49</v>
      </c>
      <c r="B56" s="5">
        <f t="shared" si="7"/>
        <v>43</v>
      </c>
      <c r="D56" s="126">
        <f>6.1*Dimensions!$C$102</f>
        <v>0.15494</v>
      </c>
      <c r="E56" s="11">
        <f>Dimensions!$D$26</f>
        <v>2675.6075520000004</v>
      </c>
      <c r="F56" s="3">
        <f t="shared" si="11"/>
        <v>414.55863410688005</v>
      </c>
      <c r="G56" s="3">
        <f>Dimensions!$D$34</f>
        <v>2402.7694001500204</v>
      </c>
      <c r="H56" s="4">
        <f t="shared" si="3"/>
        <v>996088.8006</v>
      </c>
      <c r="I56" s="4">
        <f t="shared" si="8"/>
        <v>28679737.10579998</v>
      </c>
      <c r="K56" s="125">
        <f>8*Dimensions!$C$102</f>
        <v>0.2032</v>
      </c>
      <c r="L56" s="3">
        <f>Dimensions!$D$27</f>
        <v>654.68772288</v>
      </c>
      <c r="M56" s="3">
        <f t="shared" si="4"/>
        <v>133.032545289216</v>
      </c>
      <c r="N56" s="3">
        <f>Dimensions!$D$34</f>
        <v>2402.7694001500204</v>
      </c>
      <c r="O56" s="4">
        <f t="shared" si="5"/>
        <v>319646.5290449999</v>
      </c>
      <c r="P56" s="4">
        <f t="shared" si="9"/>
        <v>10987849.435921889</v>
      </c>
      <c r="R56" s="4">
        <f t="shared" si="12"/>
        <v>1315735.329645</v>
      </c>
      <c r="S56" s="4">
        <f t="shared" si="10"/>
        <v>39667586.541721925</v>
      </c>
    </row>
    <row r="57" spans="1:19" ht="10.5">
      <c r="A57" s="5">
        <f t="shared" si="6"/>
        <v>50</v>
      </c>
      <c r="B57" s="5">
        <f t="shared" si="7"/>
        <v>44</v>
      </c>
      <c r="D57" s="127">
        <f>4*Dimensions!$C$102</f>
        <v>0.1016</v>
      </c>
      <c r="E57" s="11">
        <f>Dimensions!$D$26</f>
        <v>2675.6075520000004</v>
      </c>
      <c r="F57" s="3">
        <f t="shared" si="11"/>
        <v>271.84172728320004</v>
      </c>
      <c r="G57" s="11">
        <f>Dimensions!$D$33</f>
        <v>1601.8462667666804</v>
      </c>
      <c r="H57" s="4">
        <f t="shared" si="3"/>
        <v>435448.656</v>
      </c>
      <c r="I57" s="4">
        <f t="shared" si="8"/>
        <v>29115185.76179998</v>
      </c>
      <c r="K57" s="128">
        <f>5*Dimensions!$C$102</f>
        <v>0.127</v>
      </c>
      <c r="L57" s="3">
        <f>Dimensions!$D$27</f>
        <v>654.68772288</v>
      </c>
      <c r="M57" s="3">
        <f t="shared" si="4"/>
        <v>83.14534080576</v>
      </c>
      <c r="N57" s="3">
        <f>Dimensions!$D$34</f>
        <v>2402.7694001500204</v>
      </c>
      <c r="O57" s="4">
        <f t="shared" si="5"/>
        <v>199779.08065312495</v>
      </c>
      <c r="P57" s="4">
        <f t="shared" si="9"/>
        <v>11187628.516575014</v>
      </c>
      <c r="R57" s="4">
        <f t="shared" si="12"/>
        <v>635227.7366531249</v>
      </c>
      <c r="S57" s="4">
        <f t="shared" si="10"/>
        <v>40302814.27837505</v>
      </c>
    </row>
    <row r="58" spans="1:19" ht="10.5">
      <c r="A58" s="5">
        <f t="shared" si="6"/>
        <v>51</v>
      </c>
      <c r="B58" s="5">
        <f t="shared" si="7"/>
        <v>45</v>
      </c>
      <c r="D58" s="127">
        <f>4*Dimensions!$C$102</f>
        <v>0.1016</v>
      </c>
      <c r="E58" s="11">
        <f>Dimensions!$D$26</f>
        <v>2675.6075520000004</v>
      </c>
      <c r="F58" s="3">
        <f t="shared" si="11"/>
        <v>271.84172728320004</v>
      </c>
      <c r="G58" s="11">
        <f>Dimensions!$D$33</f>
        <v>1601.8462667666804</v>
      </c>
      <c r="H58" s="4">
        <f t="shared" si="3"/>
        <v>435448.656</v>
      </c>
      <c r="I58" s="4">
        <f t="shared" si="8"/>
        <v>29550634.41779998</v>
      </c>
      <c r="K58" s="128">
        <f>5*Dimensions!$C$102</f>
        <v>0.127</v>
      </c>
      <c r="L58" s="3">
        <f>Dimensions!$D$27</f>
        <v>654.68772288</v>
      </c>
      <c r="M58" s="3">
        <f t="shared" si="4"/>
        <v>83.14534080576</v>
      </c>
      <c r="N58" s="3">
        <f>Dimensions!$D$34</f>
        <v>2402.7694001500204</v>
      </c>
      <c r="O58" s="4">
        <f t="shared" si="5"/>
        <v>199779.08065312495</v>
      </c>
      <c r="P58" s="4">
        <f t="shared" si="9"/>
        <v>11387407.59722814</v>
      </c>
      <c r="R58" s="4">
        <f t="shared" si="12"/>
        <v>635227.7366531249</v>
      </c>
      <c r="S58" s="4">
        <f t="shared" si="10"/>
        <v>40938042.01502818</v>
      </c>
    </row>
    <row r="59" spans="1:19" ht="10.5">
      <c r="A59" s="5">
        <f t="shared" si="6"/>
        <v>52</v>
      </c>
      <c r="B59" s="5">
        <f t="shared" si="7"/>
        <v>46</v>
      </c>
      <c r="D59" s="127">
        <f>4*Dimensions!$C$102</f>
        <v>0.1016</v>
      </c>
      <c r="E59" s="11">
        <f>Dimensions!$D$26</f>
        <v>2675.6075520000004</v>
      </c>
      <c r="F59" s="3">
        <f t="shared" si="11"/>
        <v>271.84172728320004</v>
      </c>
      <c r="G59" s="11">
        <f>Dimensions!$D$33</f>
        <v>1601.8462667666804</v>
      </c>
      <c r="H59" s="4">
        <f t="shared" si="3"/>
        <v>435448.656</v>
      </c>
      <c r="I59" s="4">
        <f t="shared" si="8"/>
        <v>29986083.07379998</v>
      </c>
      <c r="K59" s="128">
        <f>5*Dimensions!$C$102</f>
        <v>0.127</v>
      </c>
      <c r="L59" s="3">
        <f>Dimensions!$D$27</f>
        <v>654.68772288</v>
      </c>
      <c r="M59" s="3">
        <f t="shared" si="4"/>
        <v>83.14534080576</v>
      </c>
      <c r="N59" s="3">
        <f>Dimensions!$D$34</f>
        <v>2402.7694001500204</v>
      </c>
      <c r="O59" s="4">
        <f t="shared" si="5"/>
        <v>199779.08065312495</v>
      </c>
      <c r="P59" s="4">
        <f t="shared" si="9"/>
        <v>11587186.677881265</v>
      </c>
      <c r="R59" s="4">
        <f t="shared" si="12"/>
        <v>635227.7366531249</v>
      </c>
      <c r="S59" s="4">
        <f t="shared" si="10"/>
        <v>41573269.751681305</v>
      </c>
    </row>
    <row r="60" spans="1:19" ht="10.5">
      <c r="A60" s="5">
        <f t="shared" si="6"/>
        <v>53</v>
      </c>
      <c r="B60" s="5">
        <f t="shared" si="7"/>
        <v>47</v>
      </c>
      <c r="D60" s="127">
        <f>4*Dimensions!$C$102</f>
        <v>0.1016</v>
      </c>
      <c r="E60" s="11">
        <f>Dimensions!$D$26</f>
        <v>2675.6075520000004</v>
      </c>
      <c r="F60" s="3">
        <f t="shared" si="11"/>
        <v>271.84172728320004</v>
      </c>
      <c r="G60" s="11">
        <f>Dimensions!$D$33</f>
        <v>1601.8462667666804</v>
      </c>
      <c r="H60" s="4">
        <f t="shared" si="3"/>
        <v>435448.656</v>
      </c>
      <c r="I60" s="4">
        <f t="shared" si="8"/>
        <v>30421531.72979998</v>
      </c>
      <c r="K60" s="128">
        <f>5*Dimensions!$C$102</f>
        <v>0.127</v>
      </c>
      <c r="L60" s="3">
        <f>Dimensions!$D$27</f>
        <v>654.68772288</v>
      </c>
      <c r="M60" s="3">
        <f t="shared" si="4"/>
        <v>83.14534080576</v>
      </c>
      <c r="N60" s="3">
        <f>Dimensions!$D$34</f>
        <v>2402.7694001500204</v>
      </c>
      <c r="O60" s="4">
        <f t="shared" si="5"/>
        <v>199779.08065312495</v>
      </c>
      <c r="P60" s="4">
        <f t="shared" si="9"/>
        <v>11786965.75853439</v>
      </c>
      <c r="R60" s="4">
        <f t="shared" si="12"/>
        <v>635227.7366531249</v>
      </c>
      <c r="S60" s="4">
        <f t="shared" si="10"/>
        <v>42208497.48833443</v>
      </c>
    </row>
    <row r="61" spans="1:19" ht="10.5">
      <c r="A61" s="5">
        <f t="shared" si="6"/>
        <v>54</v>
      </c>
      <c r="B61" s="5">
        <f t="shared" si="7"/>
        <v>48</v>
      </c>
      <c r="D61" s="127">
        <f>4*Dimensions!$C$102</f>
        <v>0.1016</v>
      </c>
      <c r="E61" s="11">
        <f>Dimensions!$D$26</f>
        <v>2675.6075520000004</v>
      </c>
      <c r="F61" s="3">
        <f t="shared" si="11"/>
        <v>271.84172728320004</v>
      </c>
      <c r="G61" s="11">
        <f>Dimensions!$D$33</f>
        <v>1601.8462667666804</v>
      </c>
      <c r="H61" s="4">
        <f t="shared" si="3"/>
        <v>435448.656</v>
      </c>
      <c r="I61" s="4">
        <f t="shared" si="8"/>
        <v>30856980.385799978</v>
      </c>
      <c r="K61" s="128">
        <f>5*Dimensions!$C$102</f>
        <v>0.127</v>
      </c>
      <c r="L61" s="3">
        <f>Dimensions!$D$27</f>
        <v>654.68772288</v>
      </c>
      <c r="M61" s="3">
        <f t="shared" si="4"/>
        <v>83.14534080576</v>
      </c>
      <c r="N61" s="3">
        <f>Dimensions!$D$34</f>
        <v>2402.7694001500204</v>
      </c>
      <c r="O61" s="4">
        <f t="shared" si="5"/>
        <v>199779.08065312495</v>
      </c>
      <c r="P61" s="4">
        <f t="shared" si="9"/>
        <v>11986744.839187516</v>
      </c>
      <c r="R61" s="4">
        <f t="shared" si="12"/>
        <v>635227.7366531249</v>
      </c>
      <c r="S61" s="4">
        <f t="shared" si="10"/>
        <v>42843725.22498756</v>
      </c>
    </row>
    <row r="62" spans="1:19" ht="10.5">
      <c r="A62" s="5">
        <f t="shared" si="6"/>
        <v>55</v>
      </c>
      <c r="B62" s="5">
        <f t="shared" si="7"/>
        <v>49</v>
      </c>
      <c r="D62" s="127">
        <f>4*Dimensions!$C$102</f>
        <v>0.1016</v>
      </c>
      <c r="E62" s="11">
        <f>Dimensions!$D$26</f>
        <v>2675.6075520000004</v>
      </c>
      <c r="F62" s="3">
        <f t="shared" si="11"/>
        <v>271.84172728320004</v>
      </c>
      <c r="G62" s="11">
        <f>Dimensions!$D$33</f>
        <v>1601.8462667666804</v>
      </c>
      <c r="H62" s="4">
        <f t="shared" si="3"/>
        <v>435448.656</v>
      </c>
      <c r="I62" s="4">
        <f t="shared" si="8"/>
        <v>31292429.041799977</v>
      </c>
      <c r="K62" s="128">
        <f>5*Dimensions!$C$102</f>
        <v>0.127</v>
      </c>
      <c r="L62" s="3">
        <f>Dimensions!$D$27</f>
        <v>654.68772288</v>
      </c>
      <c r="M62" s="3">
        <f t="shared" si="4"/>
        <v>83.14534080576</v>
      </c>
      <c r="N62" s="3">
        <f>Dimensions!$D$34</f>
        <v>2402.7694001500204</v>
      </c>
      <c r="O62" s="4">
        <f t="shared" si="5"/>
        <v>199779.08065312495</v>
      </c>
      <c r="P62" s="4">
        <f t="shared" si="9"/>
        <v>12186523.919840641</v>
      </c>
      <c r="R62" s="4">
        <f t="shared" si="12"/>
        <v>635227.7366531249</v>
      </c>
      <c r="S62" s="4">
        <f t="shared" si="10"/>
        <v>43478952.961640686</v>
      </c>
    </row>
    <row r="63" spans="1:19" ht="10.5">
      <c r="A63" s="5">
        <f t="shared" si="6"/>
        <v>56</v>
      </c>
      <c r="B63" s="5">
        <f t="shared" si="7"/>
        <v>50</v>
      </c>
      <c r="D63" s="127">
        <f>4*Dimensions!$C$102</f>
        <v>0.1016</v>
      </c>
      <c r="E63" s="11">
        <f>Dimensions!$D$26</f>
        <v>2675.6075520000004</v>
      </c>
      <c r="F63" s="3">
        <f t="shared" si="11"/>
        <v>271.84172728320004</v>
      </c>
      <c r="G63" s="11">
        <f>Dimensions!$D$33</f>
        <v>1601.8462667666804</v>
      </c>
      <c r="H63" s="4">
        <f t="shared" si="3"/>
        <v>435448.656</v>
      </c>
      <c r="I63" s="4">
        <f t="shared" si="8"/>
        <v>31727877.697799977</v>
      </c>
      <c r="K63" s="128">
        <f>5*Dimensions!$C$102</f>
        <v>0.127</v>
      </c>
      <c r="L63" s="3">
        <f>Dimensions!$D$27</f>
        <v>654.68772288</v>
      </c>
      <c r="M63" s="3">
        <f t="shared" si="4"/>
        <v>83.14534080576</v>
      </c>
      <c r="N63" s="3">
        <f>Dimensions!$D$34</f>
        <v>2402.7694001500204</v>
      </c>
      <c r="O63" s="4">
        <f t="shared" si="5"/>
        <v>199779.08065312495</v>
      </c>
      <c r="P63" s="4">
        <f t="shared" si="9"/>
        <v>12386303.000493767</v>
      </c>
      <c r="R63" s="4">
        <f t="shared" si="12"/>
        <v>635227.7366531249</v>
      </c>
      <c r="S63" s="4">
        <f t="shared" si="10"/>
        <v>44114180.69829381</v>
      </c>
    </row>
    <row r="64" spans="1:19" ht="10.5">
      <c r="A64" s="5">
        <f t="shared" si="6"/>
        <v>57</v>
      </c>
      <c r="B64" s="5">
        <f t="shared" si="7"/>
        <v>51</v>
      </c>
      <c r="D64" s="127">
        <f>4*Dimensions!$C$102</f>
        <v>0.1016</v>
      </c>
      <c r="E64" s="11">
        <f>Dimensions!$D$26</f>
        <v>2675.6075520000004</v>
      </c>
      <c r="F64" s="3">
        <f t="shared" si="11"/>
        <v>271.84172728320004</v>
      </c>
      <c r="G64" s="11">
        <f>Dimensions!$D$33</f>
        <v>1601.8462667666804</v>
      </c>
      <c r="H64" s="4">
        <f t="shared" si="3"/>
        <v>435448.656</v>
      </c>
      <c r="I64" s="4">
        <f t="shared" si="8"/>
        <v>32163326.353799976</v>
      </c>
      <c r="K64" s="128">
        <f>5*Dimensions!$C$102</f>
        <v>0.127</v>
      </c>
      <c r="L64" s="3">
        <f>Dimensions!$D$27</f>
        <v>654.68772288</v>
      </c>
      <c r="M64" s="3">
        <f t="shared" si="4"/>
        <v>83.14534080576</v>
      </c>
      <c r="N64" s="3">
        <f>Dimensions!$D$34</f>
        <v>2402.7694001500204</v>
      </c>
      <c r="O64" s="4">
        <f t="shared" si="5"/>
        <v>199779.08065312495</v>
      </c>
      <c r="P64" s="4">
        <f t="shared" si="9"/>
        <v>12586082.081146892</v>
      </c>
      <c r="R64" s="4">
        <f t="shared" si="12"/>
        <v>635227.7366531249</v>
      </c>
      <c r="S64" s="4">
        <f t="shared" si="10"/>
        <v>44749408.43494694</v>
      </c>
    </row>
    <row r="65" spans="1:19" ht="10.5">
      <c r="A65" s="5">
        <f t="shared" si="6"/>
        <v>58</v>
      </c>
      <c r="B65" s="5">
        <f t="shared" si="7"/>
        <v>52</v>
      </c>
      <c r="D65" s="127">
        <f>4*Dimensions!$C$102</f>
        <v>0.1016</v>
      </c>
      <c r="E65" s="11">
        <f>Dimensions!$D$26</f>
        <v>2675.6075520000004</v>
      </c>
      <c r="F65" s="3">
        <f t="shared" si="11"/>
        <v>271.84172728320004</v>
      </c>
      <c r="G65" s="11">
        <f>Dimensions!$D$33</f>
        <v>1601.8462667666804</v>
      </c>
      <c r="H65" s="4">
        <f t="shared" si="3"/>
        <v>435448.656</v>
      </c>
      <c r="I65" s="4">
        <f t="shared" si="8"/>
        <v>32598775.009799976</v>
      </c>
      <c r="K65" s="128">
        <f>5*Dimensions!$C$102</f>
        <v>0.127</v>
      </c>
      <c r="L65" s="3">
        <f>Dimensions!$D$27</f>
        <v>654.68772288</v>
      </c>
      <c r="M65" s="3">
        <f t="shared" si="4"/>
        <v>83.14534080576</v>
      </c>
      <c r="N65" s="3">
        <f>Dimensions!$D$34</f>
        <v>2402.7694001500204</v>
      </c>
      <c r="O65" s="4">
        <f t="shared" si="5"/>
        <v>199779.08065312495</v>
      </c>
      <c r="P65" s="4">
        <f t="shared" si="9"/>
        <v>12785861.161800018</v>
      </c>
      <c r="R65" s="4">
        <f t="shared" si="12"/>
        <v>635227.7366531249</v>
      </c>
      <c r="S65" s="4">
        <f t="shared" si="10"/>
        <v>45384636.171600066</v>
      </c>
    </row>
    <row r="66" spans="1:19" ht="10.5">
      <c r="A66" s="5">
        <f t="shared" si="6"/>
        <v>59</v>
      </c>
      <c r="B66" s="5">
        <f t="shared" si="7"/>
        <v>53</v>
      </c>
      <c r="D66" s="127">
        <f>4*Dimensions!$C$102</f>
        <v>0.1016</v>
      </c>
      <c r="E66" s="11">
        <f>Dimensions!$D$26</f>
        <v>2675.6075520000004</v>
      </c>
      <c r="F66" s="3">
        <f t="shared" si="11"/>
        <v>271.84172728320004</v>
      </c>
      <c r="G66" s="11">
        <f>Dimensions!$D$33</f>
        <v>1601.8462667666804</v>
      </c>
      <c r="H66" s="4">
        <f t="shared" si="3"/>
        <v>435448.656</v>
      </c>
      <c r="I66" s="4">
        <f t="shared" si="8"/>
        <v>33034223.665799975</v>
      </c>
      <c r="K66" s="128">
        <f>5*Dimensions!$C$102</f>
        <v>0.127</v>
      </c>
      <c r="L66" s="3">
        <f>Dimensions!$D$27</f>
        <v>654.68772288</v>
      </c>
      <c r="M66" s="3">
        <f t="shared" si="4"/>
        <v>83.14534080576</v>
      </c>
      <c r="N66" s="3">
        <f>Dimensions!$D$34</f>
        <v>2402.7694001500204</v>
      </c>
      <c r="O66" s="4">
        <f t="shared" si="5"/>
        <v>199779.08065312495</v>
      </c>
      <c r="P66" s="4">
        <f t="shared" si="9"/>
        <v>12985640.242453143</v>
      </c>
      <c r="R66" s="4">
        <f t="shared" si="12"/>
        <v>635227.7366531249</v>
      </c>
      <c r="S66" s="4">
        <f t="shared" si="10"/>
        <v>46019863.90825319</v>
      </c>
    </row>
    <row r="67" spans="1:19" ht="10.5">
      <c r="A67" s="5">
        <f t="shared" si="6"/>
        <v>60</v>
      </c>
      <c r="B67" s="5">
        <f t="shared" si="7"/>
        <v>54</v>
      </c>
      <c r="D67" s="127">
        <f>4*Dimensions!$C$102</f>
        <v>0.1016</v>
      </c>
      <c r="E67" s="11">
        <f>Dimensions!$D$26</f>
        <v>2675.6075520000004</v>
      </c>
      <c r="F67" s="3">
        <f t="shared" si="11"/>
        <v>271.84172728320004</v>
      </c>
      <c r="G67" s="11">
        <f>Dimensions!$D$33</f>
        <v>1601.8462667666804</v>
      </c>
      <c r="H67" s="4">
        <f t="shared" si="3"/>
        <v>435448.656</v>
      </c>
      <c r="I67" s="4">
        <f t="shared" si="8"/>
        <v>33469672.321799975</v>
      </c>
      <c r="K67" s="128">
        <f>5*Dimensions!$C$102</f>
        <v>0.127</v>
      </c>
      <c r="L67" s="3">
        <f>Dimensions!$D$27</f>
        <v>654.68772288</v>
      </c>
      <c r="M67" s="3">
        <f t="shared" si="4"/>
        <v>83.14534080576</v>
      </c>
      <c r="N67" s="3">
        <f>Dimensions!$D$34</f>
        <v>2402.7694001500204</v>
      </c>
      <c r="O67" s="4">
        <f t="shared" si="5"/>
        <v>199779.08065312495</v>
      </c>
      <c r="P67" s="4">
        <f t="shared" si="9"/>
        <v>13185419.323106268</v>
      </c>
      <c r="R67" s="4">
        <f t="shared" si="12"/>
        <v>635227.7366531249</v>
      </c>
      <c r="S67" s="4">
        <f t="shared" si="10"/>
        <v>46655091.64490632</v>
      </c>
    </row>
    <row r="68" spans="1:19" ht="10.5">
      <c r="A68" s="5">
        <f t="shared" si="6"/>
        <v>61</v>
      </c>
      <c r="B68" s="5">
        <f t="shared" si="7"/>
        <v>55</v>
      </c>
      <c r="D68" s="127">
        <f>4*Dimensions!$C$102</f>
        <v>0.1016</v>
      </c>
      <c r="E68" s="11">
        <f>Dimensions!$D$26</f>
        <v>2675.6075520000004</v>
      </c>
      <c r="F68" s="3">
        <f t="shared" si="11"/>
        <v>271.84172728320004</v>
      </c>
      <c r="G68" s="11">
        <f>Dimensions!$D$33</f>
        <v>1601.8462667666804</v>
      </c>
      <c r="H68" s="4">
        <f t="shared" si="3"/>
        <v>435448.656</v>
      </c>
      <c r="I68" s="4">
        <f t="shared" si="8"/>
        <v>33905120.977799974</v>
      </c>
      <c r="K68" s="128">
        <f>5*Dimensions!$C$102</f>
        <v>0.127</v>
      </c>
      <c r="L68" s="3">
        <f>Dimensions!$D$27</f>
        <v>654.68772288</v>
      </c>
      <c r="M68" s="3">
        <f t="shared" si="4"/>
        <v>83.14534080576</v>
      </c>
      <c r="N68" s="3">
        <f>Dimensions!$D$34</f>
        <v>2402.7694001500204</v>
      </c>
      <c r="O68" s="4">
        <f t="shared" si="5"/>
        <v>199779.08065312495</v>
      </c>
      <c r="P68" s="4">
        <f t="shared" si="9"/>
        <v>13385198.403759394</v>
      </c>
      <c r="R68" s="4">
        <f t="shared" si="12"/>
        <v>635227.7366531249</v>
      </c>
      <c r="S68" s="4">
        <f t="shared" si="10"/>
        <v>47290319.38155945</v>
      </c>
    </row>
    <row r="69" spans="1:19" ht="10.5">
      <c r="A69" s="5">
        <f t="shared" si="6"/>
        <v>62</v>
      </c>
      <c r="B69" s="5">
        <f t="shared" si="7"/>
        <v>56</v>
      </c>
      <c r="D69" s="127">
        <f>4*Dimensions!$C$102</f>
        <v>0.1016</v>
      </c>
      <c r="E69" s="11">
        <f>Dimensions!$D$26</f>
        <v>2675.6075520000004</v>
      </c>
      <c r="F69" s="3">
        <f t="shared" si="11"/>
        <v>271.84172728320004</v>
      </c>
      <c r="G69" s="11">
        <f>Dimensions!$D$33</f>
        <v>1601.8462667666804</v>
      </c>
      <c r="H69" s="4">
        <f t="shared" si="3"/>
        <v>435448.656</v>
      </c>
      <c r="I69" s="4">
        <f t="shared" si="8"/>
        <v>34340569.63379998</v>
      </c>
      <c r="K69" s="128">
        <f>5*Dimensions!$C$102</f>
        <v>0.127</v>
      </c>
      <c r="L69" s="3">
        <f>Dimensions!$D$27</f>
        <v>654.68772288</v>
      </c>
      <c r="M69" s="3">
        <f t="shared" si="4"/>
        <v>83.14534080576</v>
      </c>
      <c r="N69" s="3">
        <f>Dimensions!$D$34</f>
        <v>2402.7694001500204</v>
      </c>
      <c r="O69" s="4">
        <f t="shared" si="5"/>
        <v>199779.08065312495</v>
      </c>
      <c r="P69" s="4">
        <f t="shared" si="9"/>
        <v>13584977.48441252</v>
      </c>
      <c r="R69" s="4">
        <f t="shared" si="12"/>
        <v>635227.7366531249</v>
      </c>
      <c r="S69" s="4">
        <f t="shared" si="10"/>
        <v>47925547.11821257</v>
      </c>
    </row>
    <row r="70" spans="1:19" ht="10.5">
      <c r="A70" s="5">
        <f t="shared" si="6"/>
        <v>63</v>
      </c>
      <c r="B70" s="5">
        <f t="shared" si="7"/>
        <v>57</v>
      </c>
      <c r="D70" s="127">
        <f>4*Dimensions!$C$102</f>
        <v>0.1016</v>
      </c>
      <c r="E70" s="11">
        <f>Dimensions!$D$26</f>
        <v>2675.6075520000004</v>
      </c>
      <c r="F70" s="3">
        <f t="shared" si="11"/>
        <v>271.84172728320004</v>
      </c>
      <c r="G70" s="11">
        <f>Dimensions!$D$33</f>
        <v>1601.8462667666804</v>
      </c>
      <c r="H70" s="4">
        <f t="shared" si="3"/>
        <v>435448.656</v>
      </c>
      <c r="I70" s="4">
        <f t="shared" si="8"/>
        <v>34776018.28979998</v>
      </c>
      <c r="K70" s="128">
        <f>5*Dimensions!$C$102</f>
        <v>0.127</v>
      </c>
      <c r="L70" s="3">
        <f>Dimensions!$D$27</f>
        <v>654.68772288</v>
      </c>
      <c r="M70" s="3">
        <f t="shared" si="4"/>
        <v>83.14534080576</v>
      </c>
      <c r="N70" s="3">
        <f>Dimensions!$D$34</f>
        <v>2402.7694001500204</v>
      </c>
      <c r="O70" s="4">
        <f t="shared" si="5"/>
        <v>199779.08065312495</v>
      </c>
      <c r="P70" s="4">
        <f t="shared" si="9"/>
        <v>13784756.565065645</v>
      </c>
      <c r="R70" s="4">
        <f t="shared" si="12"/>
        <v>635227.7366531249</v>
      </c>
      <c r="S70" s="4">
        <f t="shared" si="10"/>
        <v>48560774.8548657</v>
      </c>
    </row>
    <row r="71" spans="1:19" ht="10.5">
      <c r="A71" s="5">
        <f t="shared" si="6"/>
        <v>64</v>
      </c>
      <c r="B71" s="5">
        <f t="shared" si="7"/>
        <v>58</v>
      </c>
      <c r="D71" s="127">
        <f>4*Dimensions!$C$102</f>
        <v>0.1016</v>
      </c>
      <c r="E71" s="11">
        <f>Dimensions!$D$26</f>
        <v>2675.6075520000004</v>
      </c>
      <c r="F71" s="3">
        <f t="shared" si="11"/>
        <v>271.84172728320004</v>
      </c>
      <c r="G71" s="11">
        <f>Dimensions!$D$33</f>
        <v>1601.8462667666804</v>
      </c>
      <c r="H71" s="4">
        <f t="shared" si="3"/>
        <v>435448.656</v>
      </c>
      <c r="I71" s="4">
        <f t="shared" si="8"/>
        <v>35211466.945799984</v>
      </c>
      <c r="K71" s="128">
        <f>5*Dimensions!$C$102</f>
        <v>0.127</v>
      </c>
      <c r="L71" s="3">
        <f>Dimensions!$D$27</f>
        <v>654.68772288</v>
      </c>
      <c r="M71" s="3">
        <f t="shared" si="4"/>
        <v>83.14534080576</v>
      </c>
      <c r="N71" s="3">
        <f>Dimensions!$D$34</f>
        <v>2402.7694001500204</v>
      </c>
      <c r="O71" s="4">
        <f t="shared" si="5"/>
        <v>199779.08065312495</v>
      </c>
      <c r="P71" s="4">
        <f t="shared" si="9"/>
        <v>13984535.64571877</v>
      </c>
      <c r="R71" s="4">
        <f t="shared" si="12"/>
        <v>635227.7366531249</v>
      </c>
      <c r="S71" s="4">
        <f t="shared" si="10"/>
        <v>49196002.59151883</v>
      </c>
    </row>
    <row r="72" spans="1:19" ht="10.5">
      <c r="A72" s="5">
        <f t="shared" si="6"/>
        <v>65</v>
      </c>
      <c r="B72" s="5">
        <f t="shared" si="7"/>
        <v>59</v>
      </c>
      <c r="D72" s="127">
        <f>4*Dimensions!$C$102</f>
        <v>0.1016</v>
      </c>
      <c r="E72" s="11">
        <f>Dimensions!$D$26</f>
        <v>2675.6075520000004</v>
      </c>
      <c r="F72" s="3">
        <f aca="true" t="shared" si="13" ref="F72:F103">E72*D72</f>
        <v>271.84172728320004</v>
      </c>
      <c r="G72" s="11">
        <f>Dimensions!$D$33</f>
        <v>1601.8462667666804</v>
      </c>
      <c r="H72" s="4">
        <f t="shared" si="3"/>
        <v>435448.656</v>
      </c>
      <c r="I72" s="4">
        <f t="shared" si="8"/>
        <v>35646915.60179999</v>
      </c>
      <c r="K72" s="128">
        <f>5*Dimensions!$C$102</f>
        <v>0.127</v>
      </c>
      <c r="L72" s="3">
        <f>Dimensions!$D$27</f>
        <v>654.68772288</v>
      </c>
      <c r="M72" s="3">
        <f t="shared" si="4"/>
        <v>83.14534080576</v>
      </c>
      <c r="N72" s="3">
        <f>Dimensions!$D$34</f>
        <v>2402.7694001500204</v>
      </c>
      <c r="O72" s="4">
        <f t="shared" si="5"/>
        <v>199779.08065312495</v>
      </c>
      <c r="P72" s="4">
        <f t="shared" si="9"/>
        <v>14184314.726371896</v>
      </c>
      <c r="R72" s="4">
        <f aca="true" t="shared" si="14" ref="R72:R103">H72+O72</f>
        <v>635227.7366531249</v>
      </c>
      <c r="S72" s="4">
        <f t="shared" si="10"/>
        <v>49831230.32817195</v>
      </c>
    </row>
    <row r="73" spans="1:19" ht="10.5">
      <c r="A73" s="5">
        <f t="shared" si="6"/>
        <v>66</v>
      </c>
      <c r="B73" s="5">
        <f t="shared" si="7"/>
        <v>60</v>
      </c>
      <c r="D73" s="127">
        <f>4*Dimensions!$C$102</f>
        <v>0.1016</v>
      </c>
      <c r="E73" s="11">
        <f>Dimensions!$D$26</f>
        <v>2675.6075520000004</v>
      </c>
      <c r="F73" s="3">
        <f t="shared" si="13"/>
        <v>271.84172728320004</v>
      </c>
      <c r="G73" s="11">
        <f>Dimensions!$D$33</f>
        <v>1601.8462667666804</v>
      </c>
      <c r="H73" s="4">
        <f aca="true" t="shared" si="15" ref="H73:H123">F73*G73</f>
        <v>435448.656</v>
      </c>
      <c r="I73" s="4">
        <f t="shared" si="8"/>
        <v>36082364.25779999</v>
      </c>
      <c r="K73" s="128">
        <f>5*Dimensions!$C$102</f>
        <v>0.127</v>
      </c>
      <c r="L73" s="3">
        <f>Dimensions!$D$27</f>
        <v>654.68772288</v>
      </c>
      <c r="M73" s="3">
        <f aca="true" t="shared" si="16" ref="M73:M123">L73*K73</f>
        <v>83.14534080576</v>
      </c>
      <c r="N73" s="3">
        <f>Dimensions!$D$34</f>
        <v>2402.7694001500204</v>
      </c>
      <c r="O73" s="4">
        <f aca="true" t="shared" si="17" ref="O73:O123">N73*M73</f>
        <v>199779.08065312495</v>
      </c>
      <c r="P73" s="4">
        <f t="shared" si="9"/>
        <v>14384093.807025021</v>
      </c>
      <c r="R73" s="4">
        <f t="shared" si="14"/>
        <v>635227.7366531249</v>
      </c>
      <c r="S73" s="4">
        <f t="shared" si="10"/>
        <v>50466458.06482508</v>
      </c>
    </row>
    <row r="74" spans="1:19" ht="10.5">
      <c r="A74" s="5">
        <f aca="true" t="shared" si="18" ref="A74:A123">A73+1</f>
        <v>67</v>
      </c>
      <c r="B74" s="5">
        <f aca="true" t="shared" si="19" ref="B74:B123">B73+1</f>
        <v>61</v>
      </c>
      <c r="D74" s="127">
        <f>4*Dimensions!$C$102</f>
        <v>0.1016</v>
      </c>
      <c r="E74" s="11">
        <f>Dimensions!$D$26</f>
        <v>2675.6075520000004</v>
      </c>
      <c r="F74" s="3">
        <f t="shared" si="13"/>
        <v>271.84172728320004</v>
      </c>
      <c r="G74" s="11">
        <f>Dimensions!$D$33</f>
        <v>1601.8462667666804</v>
      </c>
      <c r="H74" s="4">
        <f t="shared" si="15"/>
        <v>435448.656</v>
      </c>
      <c r="I74" s="4">
        <f aca="true" t="shared" si="20" ref="I74:I123">I73+H74</f>
        <v>36517812.91379999</v>
      </c>
      <c r="K74" s="128">
        <f>5*Dimensions!$C$102</f>
        <v>0.127</v>
      </c>
      <c r="L74" s="3">
        <f>Dimensions!$D$27</f>
        <v>654.68772288</v>
      </c>
      <c r="M74" s="3">
        <f t="shared" si="16"/>
        <v>83.14534080576</v>
      </c>
      <c r="N74" s="3">
        <f>Dimensions!$D$34</f>
        <v>2402.7694001500204</v>
      </c>
      <c r="O74" s="4">
        <f t="shared" si="17"/>
        <v>199779.08065312495</v>
      </c>
      <c r="P74" s="4">
        <f aca="true" t="shared" si="21" ref="P74:P123">P73+O74</f>
        <v>14583872.887678146</v>
      </c>
      <c r="R74" s="4">
        <f t="shared" si="14"/>
        <v>635227.7366531249</v>
      </c>
      <c r="S74" s="4">
        <f aca="true" t="shared" si="22" ref="S74:S123">S73+R74</f>
        <v>51101685.80147821</v>
      </c>
    </row>
    <row r="75" spans="1:19" ht="10.5">
      <c r="A75" s="5">
        <f t="shared" si="18"/>
        <v>68</v>
      </c>
      <c r="B75" s="5">
        <f t="shared" si="19"/>
        <v>62</v>
      </c>
      <c r="D75" s="127">
        <f>4*Dimensions!$C$102</f>
        <v>0.1016</v>
      </c>
      <c r="E75" s="11">
        <f>Dimensions!$D$26</f>
        <v>2675.6075520000004</v>
      </c>
      <c r="F75" s="3">
        <f t="shared" si="13"/>
        <v>271.84172728320004</v>
      </c>
      <c r="G75" s="11">
        <f>Dimensions!$D$33</f>
        <v>1601.8462667666804</v>
      </c>
      <c r="H75" s="4">
        <f t="shared" si="15"/>
        <v>435448.656</v>
      </c>
      <c r="I75" s="4">
        <f t="shared" si="20"/>
        <v>36953261.5698</v>
      </c>
      <c r="K75" s="128">
        <f>5*Dimensions!$C$102</f>
        <v>0.127</v>
      </c>
      <c r="L75" s="3">
        <f>Dimensions!$D$27</f>
        <v>654.68772288</v>
      </c>
      <c r="M75" s="3">
        <f t="shared" si="16"/>
        <v>83.14534080576</v>
      </c>
      <c r="N75" s="3">
        <f>Dimensions!$D$34</f>
        <v>2402.7694001500204</v>
      </c>
      <c r="O75" s="4">
        <f t="shared" si="17"/>
        <v>199779.08065312495</v>
      </c>
      <c r="P75" s="4">
        <f t="shared" si="21"/>
        <v>14783651.968331272</v>
      </c>
      <c r="R75" s="4">
        <f t="shared" si="14"/>
        <v>635227.7366531249</v>
      </c>
      <c r="S75" s="4">
        <f t="shared" si="22"/>
        <v>51736913.538131334</v>
      </c>
    </row>
    <row r="76" spans="1:19" ht="10.5">
      <c r="A76" s="5">
        <f t="shared" si="18"/>
        <v>69</v>
      </c>
      <c r="B76" s="5">
        <f t="shared" si="19"/>
        <v>63</v>
      </c>
      <c r="D76" s="127">
        <f>4*Dimensions!$C$102</f>
        <v>0.1016</v>
      </c>
      <c r="E76" s="11">
        <f>Dimensions!$D$26</f>
        <v>2675.6075520000004</v>
      </c>
      <c r="F76" s="3">
        <f t="shared" si="13"/>
        <v>271.84172728320004</v>
      </c>
      <c r="G76" s="11">
        <f>Dimensions!$D$33</f>
        <v>1601.8462667666804</v>
      </c>
      <c r="H76" s="4">
        <f t="shared" si="15"/>
        <v>435448.656</v>
      </c>
      <c r="I76" s="4">
        <f t="shared" si="20"/>
        <v>37388710.2258</v>
      </c>
      <c r="K76" s="128">
        <f>5*Dimensions!$C$102</f>
        <v>0.127</v>
      </c>
      <c r="L76" s="3">
        <f>Dimensions!$D$27</f>
        <v>654.68772288</v>
      </c>
      <c r="M76" s="3">
        <f t="shared" si="16"/>
        <v>83.14534080576</v>
      </c>
      <c r="N76" s="3">
        <f>Dimensions!$D$34</f>
        <v>2402.7694001500204</v>
      </c>
      <c r="O76" s="4">
        <f t="shared" si="17"/>
        <v>199779.08065312495</v>
      </c>
      <c r="P76" s="4">
        <f t="shared" si="21"/>
        <v>14983431.048984397</v>
      </c>
      <c r="R76" s="4">
        <f t="shared" si="14"/>
        <v>635227.7366531249</v>
      </c>
      <c r="S76" s="4">
        <f t="shared" si="22"/>
        <v>52372141.27478446</v>
      </c>
    </row>
    <row r="77" spans="1:19" ht="10.5">
      <c r="A77" s="5">
        <f t="shared" si="18"/>
        <v>70</v>
      </c>
      <c r="B77" s="5">
        <f t="shared" si="19"/>
        <v>64</v>
      </c>
      <c r="D77" s="127">
        <f>4*Dimensions!$C$102</f>
        <v>0.1016</v>
      </c>
      <c r="E77" s="11">
        <f>Dimensions!$D$26</f>
        <v>2675.6075520000004</v>
      </c>
      <c r="F77" s="3">
        <f t="shared" si="13"/>
        <v>271.84172728320004</v>
      </c>
      <c r="G77" s="11">
        <f>Dimensions!$D$33</f>
        <v>1601.8462667666804</v>
      </c>
      <c r="H77" s="4">
        <f t="shared" si="15"/>
        <v>435448.656</v>
      </c>
      <c r="I77" s="4">
        <f t="shared" si="20"/>
        <v>37824158.8818</v>
      </c>
      <c r="K77" s="128">
        <f>5*Dimensions!$C$102</f>
        <v>0.127</v>
      </c>
      <c r="L77" s="3">
        <f>Dimensions!$D$27</f>
        <v>654.68772288</v>
      </c>
      <c r="M77" s="3">
        <f t="shared" si="16"/>
        <v>83.14534080576</v>
      </c>
      <c r="N77" s="3">
        <f>Dimensions!$D$34</f>
        <v>2402.7694001500204</v>
      </c>
      <c r="O77" s="4">
        <f t="shared" si="17"/>
        <v>199779.08065312495</v>
      </c>
      <c r="P77" s="4">
        <f t="shared" si="21"/>
        <v>15183210.129637523</v>
      </c>
      <c r="R77" s="4">
        <f t="shared" si="14"/>
        <v>635227.7366531249</v>
      </c>
      <c r="S77" s="4">
        <f t="shared" si="22"/>
        <v>53007369.01143759</v>
      </c>
    </row>
    <row r="78" spans="1:19" ht="10.5">
      <c r="A78" s="5">
        <f t="shared" si="18"/>
        <v>71</v>
      </c>
      <c r="B78" s="5">
        <f t="shared" si="19"/>
        <v>65</v>
      </c>
      <c r="D78" s="127">
        <f>4*Dimensions!$C$102</f>
        <v>0.1016</v>
      </c>
      <c r="E78" s="11">
        <f>Dimensions!$D$26</f>
        <v>2675.6075520000004</v>
      </c>
      <c r="F78" s="3">
        <f t="shared" si="13"/>
        <v>271.84172728320004</v>
      </c>
      <c r="G78" s="11">
        <f>Dimensions!$D$33</f>
        <v>1601.8462667666804</v>
      </c>
      <c r="H78" s="4">
        <f t="shared" si="15"/>
        <v>435448.656</v>
      </c>
      <c r="I78" s="4">
        <f t="shared" si="20"/>
        <v>38259607.53780001</v>
      </c>
      <c r="K78" s="128">
        <f>5*Dimensions!$C$102</f>
        <v>0.127</v>
      </c>
      <c r="L78" s="3">
        <f>Dimensions!$D$27</f>
        <v>654.68772288</v>
      </c>
      <c r="M78" s="3">
        <f t="shared" si="16"/>
        <v>83.14534080576</v>
      </c>
      <c r="N78" s="3">
        <f>Dimensions!$D$34</f>
        <v>2402.7694001500204</v>
      </c>
      <c r="O78" s="4">
        <f t="shared" si="17"/>
        <v>199779.08065312495</v>
      </c>
      <c r="P78" s="4">
        <f t="shared" si="21"/>
        <v>15382989.210290648</v>
      </c>
      <c r="R78" s="4">
        <f t="shared" si="14"/>
        <v>635227.7366531249</v>
      </c>
      <c r="S78" s="4">
        <f t="shared" si="22"/>
        <v>53642596.748090714</v>
      </c>
    </row>
    <row r="79" spans="1:19" ht="10.5">
      <c r="A79" s="5">
        <f t="shared" si="18"/>
        <v>72</v>
      </c>
      <c r="B79" s="5">
        <f t="shared" si="19"/>
        <v>66</v>
      </c>
      <c r="D79" s="127">
        <f>4*Dimensions!$C$102</f>
        <v>0.1016</v>
      </c>
      <c r="E79" s="11">
        <f>Dimensions!$D$26</f>
        <v>2675.6075520000004</v>
      </c>
      <c r="F79" s="3">
        <f t="shared" si="13"/>
        <v>271.84172728320004</v>
      </c>
      <c r="G79" s="11">
        <f>Dimensions!$D$33</f>
        <v>1601.8462667666804</v>
      </c>
      <c r="H79" s="4">
        <f t="shared" si="15"/>
        <v>435448.656</v>
      </c>
      <c r="I79" s="4">
        <f t="shared" si="20"/>
        <v>38695056.19380001</v>
      </c>
      <c r="K79" s="128">
        <f>5*Dimensions!$C$102</f>
        <v>0.127</v>
      </c>
      <c r="L79" s="3">
        <f>Dimensions!$D$27</f>
        <v>654.68772288</v>
      </c>
      <c r="M79" s="3">
        <f t="shared" si="16"/>
        <v>83.14534080576</v>
      </c>
      <c r="N79" s="3">
        <f>Dimensions!$D$34</f>
        <v>2402.7694001500204</v>
      </c>
      <c r="O79" s="4">
        <f t="shared" si="17"/>
        <v>199779.08065312495</v>
      </c>
      <c r="P79" s="4">
        <f t="shared" si="21"/>
        <v>15582768.290943773</v>
      </c>
      <c r="R79" s="4">
        <f t="shared" si="14"/>
        <v>635227.7366531249</v>
      </c>
      <c r="S79" s="4">
        <f t="shared" si="22"/>
        <v>54277824.48474384</v>
      </c>
    </row>
    <row r="80" spans="1:19" ht="10.5">
      <c r="A80" s="5">
        <f t="shared" si="18"/>
        <v>73</v>
      </c>
      <c r="B80" s="5">
        <f t="shared" si="19"/>
        <v>67</v>
      </c>
      <c r="D80" s="127">
        <f>4*Dimensions!$C$102</f>
        <v>0.1016</v>
      </c>
      <c r="E80" s="11">
        <f>Dimensions!$D$26</f>
        <v>2675.6075520000004</v>
      </c>
      <c r="F80" s="3">
        <f t="shared" si="13"/>
        <v>271.84172728320004</v>
      </c>
      <c r="G80" s="11">
        <f>Dimensions!$D$33</f>
        <v>1601.8462667666804</v>
      </c>
      <c r="H80" s="4">
        <f t="shared" si="15"/>
        <v>435448.656</v>
      </c>
      <c r="I80" s="4">
        <f t="shared" si="20"/>
        <v>39130504.84980001</v>
      </c>
      <c r="K80" s="128">
        <f>5*Dimensions!$C$102</f>
        <v>0.127</v>
      </c>
      <c r="L80" s="3">
        <f>Dimensions!$D$27</f>
        <v>654.68772288</v>
      </c>
      <c r="M80" s="3">
        <f t="shared" si="16"/>
        <v>83.14534080576</v>
      </c>
      <c r="N80" s="3">
        <f>Dimensions!$D$34</f>
        <v>2402.7694001500204</v>
      </c>
      <c r="O80" s="4">
        <f t="shared" si="17"/>
        <v>199779.08065312495</v>
      </c>
      <c r="P80" s="4">
        <f t="shared" si="21"/>
        <v>15782547.371596899</v>
      </c>
      <c r="R80" s="4">
        <f t="shared" si="14"/>
        <v>635227.7366531249</v>
      </c>
      <c r="S80" s="4">
        <f t="shared" si="22"/>
        <v>54913052.22139697</v>
      </c>
    </row>
    <row r="81" spans="1:19" ht="10.5">
      <c r="A81" s="5">
        <f t="shared" si="18"/>
        <v>74</v>
      </c>
      <c r="B81" s="5">
        <f t="shared" si="19"/>
        <v>68</v>
      </c>
      <c r="D81" s="127">
        <f>4*Dimensions!$C$102</f>
        <v>0.1016</v>
      </c>
      <c r="E81" s="11">
        <f>Dimensions!$D$26</f>
        <v>2675.6075520000004</v>
      </c>
      <c r="F81" s="3">
        <f t="shared" si="13"/>
        <v>271.84172728320004</v>
      </c>
      <c r="G81" s="11">
        <f>Dimensions!$D$33</f>
        <v>1601.8462667666804</v>
      </c>
      <c r="H81" s="4">
        <f t="shared" si="15"/>
        <v>435448.656</v>
      </c>
      <c r="I81" s="4">
        <f t="shared" si="20"/>
        <v>39565953.505800016</v>
      </c>
      <c r="K81" s="128">
        <f>5*Dimensions!$C$102</f>
        <v>0.127</v>
      </c>
      <c r="L81" s="3">
        <f>Dimensions!$D$27</f>
        <v>654.68772288</v>
      </c>
      <c r="M81" s="3">
        <f t="shared" si="16"/>
        <v>83.14534080576</v>
      </c>
      <c r="N81" s="3">
        <f>Dimensions!$D$34</f>
        <v>2402.7694001500204</v>
      </c>
      <c r="O81" s="4">
        <f t="shared" si="17"/>
        <v>199779.08065312495</v>
      </c>
      <c r="P81" s="4">
        <f t="shared" si="21"/>
        <v>15982326.452250024</v>
      </c>
      <c r="R81" s="4">
        <f t="shared" si="14"/>
        <v>635227.7366531249</v>
      </c>
      <c r="S81" s="4">
        <f t="shared" si="22"/>
        <v>55548279.958050095</v>
      </c>
    </row>
    <row r="82" spans="1:19" ht="10.5">
      <c r="A82" s="5">
        <f t="shared" si="18"/>
        <v>75</v>
      </c>
      <c r="B82" s="5">
        <f t="shared" si="19"/>
        <v>69</v>
      </c>
      <c r="D82" s="127">
        <f>4*Dimensions!$C$102</f>
        <v>0.1016</v>
      </c>
      <c r="E82" s="11">
        <f>Dimensions!$D$26</f>
        <v>2675.6075520000004</v>
      </c>
      <c r="F82" s="3">
        <f t="shared" si="13"/>
        <v>271.84172728320004</v>
      </c>
      <c r="G82" s="11">
        <f>Dimensions!$D$33</f>
        <v>1601.8462667666804</v>
      </c>
      <c r="H82" s="4">
        <f t="shared" si="15"/>
        <v>435448.656</v>
      </c>
      <c r="I82" s="4">
        <f t="shared" si="20"/>
        <v>40001402.16180002</v>
      </c>
      <c r="K82" s="128">
        <f>5*Dimensions!$C$102</f>
        <v>0.127</v>
      </c>
      <c r="L82" s="3">
        <f>Dimensions!$D$27</f>
        <v>654.68772288</v>
      </c>
      <c r="M82" s="3">
        <f t="shared" si="16"/>
        <v>83.14534080576</v>
      </c>
      <c r="N82" s="3">
        <f>Dimensions!$D$34</f>
        <v>2402.7694001500204</v>
      </c>
      <c r="O82" s="4">
        <f t="shared" si="17"/>
        <v>199779.08065312495</v>
      </c>
      <c r="P82" s="4">
        <f t="shared" si="21"/>
        <v>16182105.53290315</v>
      </c>
      <c r="R82" s="4">
        <f t="shared" si="14"/>
        <v>635227.7366531249</v>
      </c>
      <c r="S82" s="4">
        <f t="shared" si="22"/>
        <v>56183507.69470322</v>
      </c>
    </row>
    <row r="83" spans="1:19" ht="10.5">
      <c r="A83" s="5">
        <f t="shared" si="18"/>
        <v>76</v>
      </c>
      <c r="B83" s="5">
        <f t="shared" si="19"/>
        <v>70</v>
      </c>
      <c r="D83" s="127">
        <f>4*Dimensions!$C$102</f>
        <v>0.1016</v>
      </c>
      <c r="E83" s="11">
        <f>Dimensions!$D$26</f>
        <v>2675.6075520000004</v>
      </c>
      <c r="F83" s="3">
        <f t="shared" si="13"/>
        <v>271.84172728320004</v>
      </c>
      <c r="G83" s="11">
        <f>Dimensions!$D$33</f>
        <v>1601.8462667666804</v>
      </c>
      <c r="H83" s="4">
        <f t="shared" si="15"/>
        <v>435448.656</v>
      </c>
      <c r="I83" s="4">
        <f t="shared" si="20"/>
        <v>40436850.81780002</v>
      </c>
      <c r="K83" s="128">
        <f>5*Dimensions!$C$102</f>
        <v>0.127</v>
      </c>
      <c r="L83" s="3">
        <f>Dimensions!$D$27</f>
        <v>654.68772288</v>
      </c>
      <c r="M83" s="3">
        <f t="shared" si="16"/>
        <v>83.14534080576</v>
      </c>
      <c r="N83" s="3">
        <f>Dimensions!$D$34</f>
        <v>2402.7694001500204</v>
      </c>
      <c r="O83" s="4">
        <f t="shared" si="17"/>
        <v>199779.08065312495</v>
      </c>
      <c r="P83" s="4">
        <f t="shared" si="21"/>
        <v>16381884.613556275</v>
      </c>
      <c r="R83" s="4">
        <f t="shared" si="14"/>
        <v>635227.7366531249</v>
      </c>
      <c r="S83" s="4">
        <f t="shared" si="22"/>
        <v>56818735.43135635</v>
      </c>
    </row>
    <row r="84" spans="1:19" ht="10.5">
      <c r="A84" s="5">
        <f t="shared" si="18"/>
        <v>77</v>
      </c>
      <c r="B84" s="5">
        <f t="shared" si="19"/>
        <v>71</v>
      </c>
      <c r="D84" s="127">
        <f>4*Dimensions!$C$102</f>
        <v>0.1016</v>
      </c>
      <c r="E84" s="11">
        <f>Dimensions!$D$26</f>
        <v>2675.6075520000004</v>
      </c>
      <c r="F84" s="3">
        <f t="shared" si="13"/>
        <v>271.84172728320004</v>
      </c>
      <c r="G84" s="11">
        <f>Dimensions!$D$33</f>
        <v>1601.8462667666804</v>
      </c>
      <c r="H84" s="4">
        <f t="shared" si="15"/>
        <v>435448.656</v>
      </c>
      <c r="I84" s="4">
        <f t="shared" si="20"/>
        <v>40872299.473800026</v>
      </c>
      <c r="K84" s="128">
        <f>5*Dimensions!$C$102</f>
        <v>0.127</v>
      </c>
      <c r="L84" s="3">
        <f>Dimensions!$D$27</f>
        <v>654.68772288</v>
      </c>
      <c r="M84" s="3">
        <f t="shared" si="16"/>
        <v>83.14534080576</v>
      </c>
      <c r="N84" s="3">
        <f>Dimensions!$D$34</f>
        <v>2402.7694001500204</v>
      </c>
      <c r="O84" s="4">
        <f t="shared" si="17"/>
        <v>199779.08065312495</v>
      </c>
      <c r="P84" s="4">
        <f t="shared" si="21"/>
        <v>16581663.6942094</v>
      </c>
      <c r="R84" s="4">
        <f t="shared" si="14"/>
        <v>635227.7366531249</v>
      </c>
      <c r="S84" s="4">
        <f t="shared" si="22"/>
        <v>57453963.168009475</v>
      </c>
    </row>
    <row r="85" spans="1:19" ht="10.5">
      <c r="A85" s="5">
        <f t="shared" si="18"/>
        <v>78</v>
      </c>
      <c r="B85" s="5">
        <f t="shared" si="19"/>
        <v>72</v>
      </c>
      <c r="D85" s="127">
        <f>4*Dimensions!$C$102</f>
        <v>0.1016</v>
      </c>
      <c r="E85" s="11">
        <f>Dimensions!$D$26</f>
        <v>2675.6075520000004</v>
      </c>
      <c r="F85" s="3">
        <f t="shared" si="13"/>
        <v>271.84172728320004</v>
      </c>
      <c r="G85" s="11">
        <f>Dimensions!$D$33</f>
        <v>1601.8462667666804</v>
      </c>
      <c r="H85" s="4">
        <f t="shared" si="15"/>
        <v>435448.656</v>
      </c>
      <c r="I85" s="4">
        <f t="shared" si="20"/>
        <v>41307748.12980003</v>
      </c>
      <c r="K85" s="128">
        <f>5*Dimensions!$C$102</f>
        <v>0.127</v>
      </c>
      <c r="L85" s="3">
        <f>Dimensions!$D$27</f>
        <v>654.68772288</v>
      </c>
      <c r="M85" s="3">
        <f t="shared" si="16"/>
        <v>83.14534080576</v>
      </c>
      <c r="N85" s="3">
        <f>Dimensions!$D$34</f>
        <v>2402.7694001500204</v>
      </c>
      <c r="O85" s="4">
        <f t="shared" si="17"/>
        <v>199779.08065312495</v>
      </c>
      <c r="P85" s="4">
        <f t="shared" si="21"/>
        <v>16781442.774862524</v>
      </c>
      <c r="R85" s="4">
        <f t="shared" si="14"/>
        <v>635227.7366531249</v>
      </c>
      <c r="S85" s="4">
        <f t="shared" si="22"/>
        <v>58089190.9046626</v>
      </c>
    </row>
    <row r="86" spans="1:19" ht="10.5">
      <c r="A86" s="5">
        <f t="shared" si="18"/>
        <v>79</v>
      </c>
      <c r="B86" s="5">
        <f t="shared" si="19"/>
        <v>73</v>
      </c>
      <c r="D86" s="127">
        <f>4*Dimensions!$C$102</f>
        <v>0.1016</v>
      </c>
      <c r="E86" s="11">
        <f>Dimensions!$D$26</f>
        <v>2675.6075520000004</v>
      </c>
      <c r="F86" s="3">
        <f t="shared" si="13"/>
        <v>271.84172728320004</v>
      </c>
      <c r="G86" s="11">
        <f>Dimensions!$D$33</f>
        <v>1601.8462667666804</v>
      </c>
      <c r="H86" s="4">
        <f t="shared" si="15"/>
        <v>435448.656</v>
      </c>
      <c r="I86" s="4">
        <f t="shared" si="20"/>
        <v>41743196.78580003</v>
      </c>
      <c r="K86" s="128">
        <f>5*Dimensions!$C$102</f>
        <v>0.127</v>
      </c>
      <c r="L86" s="3">
        <f>Dimensions!$D$27</f>
        <v>654.68772288</v>
      </c>
      <c r="M86" s="3">
        <f t="shared" si="16"/>
        <v>83.14534080576</v>
      </c>
      <c r="N86" s="3">
        <f>Dimensions!$D$34</f>
        <v>2402.7694001500204</v>
      </c>
      <c r="O86" s="4">
        <f t="shared" si="17"/>
        <v>199779.08065312495</v>
      </c>
      <c r="P86" s="4">
        <f t="shared" si="21"/>
        <v>16981221.855515648</v>
      </c>
      <c r="R86" s="4">
        <f t="shared" si="14"/>
        <v>635227.7366531249</v>
      </c>
      <c r="S86" s="4">
        <f t="shared" si="22"/>
        <v>58724418.64131573</v>
      </c>
    </row>
    <row r="87" spans="1:19" ht="10.5">
      <c r="A87" s="5">
        <f t="shared" si="18"/>
        <v>80</v>
      </c>
      <c r="B87" s="5">
        <f t="shared" si="19"/>
        <v>74</v>
      </c>
      <c r="D87" s="127">
        <f>4*Dimensions!$C$102</f>
        <v>0.1016</v>
      </c>
      <c r="E87" s="11">
        <f>Dimensions!$D$26</f>
        <v>2675.6075520000004</v>
      </c>
      <c r="F87" s="3">
        <f t="shared" si="13"/>
        <v>271.84172728320004</v>
      </c>
      <c r="G87" s="11">
        <f>Dimensions!$D$33</f>
        <v>1601.8462667666804</v>
      </c>
      <c r="H87" s="4">
        <f t="shared" si="15"/>
        <v>435448.656</v>
      </c>
      <c r="I87" s="4">
        <f t="shared" si="20"/>
        <v>42178645.441800036</v>
      </c>
      <c r="K87" s="128">
        <f>5*Dimensions!$C$102</f>
        <v>0.127</v>
      </c>
      <c r="L87" s="3">
        <f>Dimensions!$D$27</f>
        <v>654.68772288</v>
      </c>
      <c r="M87" s="3">
        <f t="shared" si="16"/>
        <v>83.14534080576</v>
      </c>
      <c r="N87" s="3">
        <f>Dimensions!$D$34</f>
        <v>2402.7694001500204</v>
      </c>
      <c r="O87" s="4">
        <f t="shared" si="17"/>
        <v>199779.08065312495</v>
      </c>
      <c r="P87" s="4">
        <f t="shared" si="21"/>
        <v>17181000.93616877</v>
      </c>
      <c r="R87" s="4">
        <f t="shared" si="14"/>
        <v>635227.7366531249</v>
      </c>
      <c r="S87" s="4">
        <f t="shared" si="22"/>
        <v>59359646.377968855</v>
      </c>
    </row>
    <row r="88" spans="1:19" ht="10.5">
      <c r="A88" s="5">
        <f t="shared" si="18"/>
        <v>81</v>
      </c>
      <c r="B88" s="5">
        <f t="shared" si="19"/>
        <v>75</v>
      </c>
      <c r="D88" s="126">
        <f>6.1*Dimensions!$C$102</f>
        <v>0.15494</v>
      </c>
      <c r="E88" s="11">
        <f>Dimensions!$D$26</f>
        <v>2675.6075520000004</v>
      </c>
      <c r="F88" s="3">
        <f t="shared" si="13"/>
        <v>414.55863410688005</v>
      </c>
      <c r="G88" s="3">
        <f>Dimensions!$D$34</f>
        <v>2402.7694001500204</v>
      </c>
      <c r="H88" s="4">
        <f t="shared" si="15"/>
        <v>996088.8006</v>
      </c>
      <c r="I88" s="4">
        <f t="shared" si="20"/>
        <v>43174734.242400035</v>
      </c>
      <c r="K88" s="125">
        <f>8*Dimensions!$C$102</f>
        <v>0.2032</v>
      </c>
      <c r="L88" s="3">
        <f>Dimensions!$D$27</f>
        <v>654.68772288</v>
      </c>
      <c r="M88" s="3">
        <f t="shared" si="16"/>
        <v>133.032545289216</v>
      </c>
      <c r="N88" s="3">
        <f>Dimensions!$D$34</f>
        <v>2402.7694001500204</v>
      </c>
      <c r="O88" s="4">
        <f t="shared" si="17"/>
        <v>319646.5290449999</v>
      </c>
      <c r="P88" s="4">
        <f t="shared" si="21"/>
        <v>17500647.465213772</v>
      </c>
      <c r="R88" s="4">
        <f t="shared" si="14"/>
        <v>1315735.329645</v>
      </c>
      <c r="S88" s="4">
        <f t="shared" si="22"/>
        <v>60675381.707613856</v>
      </c>
    </row>
    <row r="89" spans="1:19" ht="10.5">
      <c r="A89" s="5">
        <f t="shared" si="18"/>
        <v>82</v>
      </c>
      <c r="B89" s="5">
        <f t="shared" si="19"/>
        <v>76</v>
      </c>
      <c r="D89" s="126">
        <f>6.1*Dimensions!$C$102</f>
        <v>0.15494</v>
      </c>
      <c r="E89" s="11">
        <f>Dimensions!$D$26</f>
        <v>2675.6075520000004</v>
      </c>
      <c r="F89" s="3">
        <f t="shared" si="13"/>
        <v>414.55863410688005</v>
      </c>
      <c r="G89" s="3">
        <f>Dimensions!$D$34</f>
        <v>2402.7694001500204</v>
      </c>
      <c r="H89" s="4">
        <f t="shared" si="15"/>
        <v>996088.8006</v>
      </c>
      <c r="I89" s="4">
        <f t="shared" si="20"/>
        <v>44170823.043000035</v>
      </c>
      <c r="K89" s="125">
        <f>8*Dimensions!$C$102</f>
        <v>0.2032</v>
      </c>
      <c r="L89" s="3">
        <f>Dimensions!$D$27</f>
        <v>654.68772288</v>
      </c>
      <c r="M89" s="3">
        <f t="shared" si="16"/>
        <v>133.032545289216</v>
      </c>
      <c r="N89" s="3">
        <f>Dimensions!$D$34</f>
        <v>2402.7694001500204</v>
      </c>
      <c r="O89" s="4">
        <f t="shared" si="17"/>
        <v>319646.5290449999</v>
      </c>
      <c r="P89" s="4">
        <f t="shared" si="21"/>
        <v>17820293.994258773</v>
      </c>
      <c r="R89" s="4">
        <f t="shared" si="14"/>
        <v>1315735.329645</v>
      </c>
      <c r="S89" s="4">
        <f t="shared" si="22"/>
        <v>61991117.037258856</v>
      </c>
    </row>
    <row r="90" spans="1:19" ht="10.5">
      <c r="A90" s="5">
        <f t="shared" si="18"/>
        <v>83</v>
      </c>
      <c r="B90" s="5">
        <f t="shared" si="19"/>
        <v>77</v>
      </c>
      <c r="D90" s="126">
        <f>6.1*Dimensions!$C$102</f>
        <v>0.15494</v>
      </c>
      <c r="E90" s="11">
        <f>Dimensions!$D$26</f>
        <v>2675.6075520000004</v>
      </c>
      <c r="F90" s="3">
        <f t="shared" si="13"/>
        <v>414.55863410688005</v>
      </c>
      <c r="G90" s="3">
        <f>Dimensions!$D$34</f>
        <v>2402.7694001500204</v>
      </c>
      <c r="H90" s="4">
        <f t="shared" si="15"/>
        <v>996088.8006</v>
      </c>
      <c r="I90" s="4">
        <f t="shared" si="20"/>
        <v>45166911.843600035</v>
      </c>
      <c r="K90" s="125">
        <f>8*Dimensions!$C$102</f>
        <v>0.2032</v>
      </c>
      <c r="L90" s="3">
        <f>Dimensions!$D$27</f>
        <v>654.68772288</v>
      </c>
      <c r="M90" s="3">
        <f t="shared" si="16"/>
        <v>133.032545289216</v>
      </c>
      <c r="N90" s="3">
        <f>Dimensions!$D$34</f>
        <v>2402.7694001500204</v>
      </c>
      <c r="O90" s="4">
        <f t="shared" si="17"/>
        <v>319646.5290449999</v>
      </c>
      <c r="P90" s="4">
        <f t="shared" si="21"/>
        <v>18139940.523303773</v>
      </c>
      <c r="R90" s="4">
        <f t="shared" si="14"/>
        <v>1315735.329645</v>
      </c>
      <c r="S90" s="4">
        <f t="shared" si="22"/>
        <v>63306852.36690386</v>
      </c>
    </row>
    <row r="91" spans="1:19" ht="10.5">
      <c r="A91" s="5">
        <f t="shared" si="18"/>
        <v>84</v>
      </c>
      <c r="B91" s="5">
        <f t="shared" si="19"/>
        <v>78</v>
      </c>
      <c r="D91" s="127">
        <f>4*Dimensions!$C$102</f>
        <v>0.1016</v>
      </c>
      <c r="E91" s="11">
        <f>Dimensions!$D$26</f>
        <v>2675.6075520000004</v>
      </c>
      <c r="F91" s="3">
        <f t="shared" si="13"/>
        <v>271.84172728320004</v>
      </c>
      <c r="G91" s="11">
        <f>Dimensions!$D$33</f>
        <v>1601.8462667666804</v>
      </c>
      <c r="H91" s="4">
        <f t="shared" si="15"/>
        <v>435448.656</v>
      </c>
      <c r="I91" s="4">
        <f t="shared" si="20"/>
        <v>45602360.49960004</v>
      </c>
      <c r="K91" s="128">
        <f>5*Dimensions!$C$102</f>
        <v>0.127</v>
      </c>
      <c r="L91" s="3">
        <f>Dimensions!$D$27</f>
        <v>654.68772288</v>
      </c>
      <c r="M91" s="3">
        <f t="shared" si="16"/>
        <v>83.14534080576</v>
      </c>
      <c r="N91" s="3">
        <f>Dimensions!$D$34</f>
        <v>2402.7694001500204</v>
      </c>
      <c r="O91" s="4">
        <f t="shared" si="17"/>
        <v>199779.08065312495</v>
      </c>
      <c r="P91" s="4">
        <f t="shared" si="21"/>
        <v>18339719.603956897</v>
      </c>
      <c r="R91" s="4">
        <f t="shared" si="14"/>
        <v>635227.7366531249</v>
      </c>
      <c r="S91" s="4">
        <f t="shared" si="22"/>
        <v>63942080.10355698</v>
      </c>
    </row>
    <row r="92" spans="1:19" ht="10.5">
      <c r="A92" s="5">
        <f t="shared" si="18"/>
        <v>85</v>
      </c>
      <c r="B92" s="5">
        <f t="shared" si="19"/>
        <v>79</v>
      </c>
      <c r="D92" s="127">
        <f>4*Dimensions!$C$102</f>
        <v>0.1016</v>
      </c>
      <c r="E92" s="11">
        <f>Dimensions!$D$26</f>
        <v>2675.6075520000004</v>
      </c>
      <c r="F92" s="3">
        <f t="shared" si="13"/>
        <v>271.84172728320004</v>
      </c>
      <c r="G92" s="11">
        <f>Dimensions!$D$33</f>
        <v>1601.8462667666804</v>
      </c>
      <c r="H92" s="4">
        <f t="shared" si="15"/>
        <v>435448.656</v>
      </c>
      <c r="I92" s="4">
        <f t="shared" si="20"/>
        <v>46037809.15560004</v>
      </c>
      <c r="K92" s="128">
        <f>5*Dimensions!$C$102</f>
        <v>0.127</v>
      </c>
      <c r="L92" s="3">
        <f>Dimensions!$D$27</f>
        <v>654.68772288</v>
      </c>
      <c r="M92" s="3">
        <f t="shared" si="16"/>
        <v>83.14534080576</v>
      </c>
      <c r="N92" s="3">
        <f>Dimensions!$D$34</f>
        <v>2402.7694001500204</v>
      </c>
      <c r="O92" s="4">
        <f t="shared" si="17"/>
        <v>199779.08065312495</v>
      </c>
      <c r="P92" s="4">
        <f t="shared" si="21"/>
        <v>18539498.68461002</v>
      </c>
      <c r="R92" s="4">
        <f t="shared" si="14"/>
        <v>635227.7366531249</v>
      </c>
      <c r="S92" s="4">
        <f t="shared" si="22"/>
        <v>64577307.84021011</v>
      </c>
    </row>
    <row r="93" spans="1:19" ht="10.5">
      <c r="A93" s="5">
        <f t="shared" si="18"/>
        <v>86</v>
      </c>
      <c r="B93" s="5">
        <f t="shared" si="19"/>
        <v>80</v>
      </c>
      <c r="D93" s="127">
        <f>4*Dimensions!$C$102</f>
        <v>0.1016</v>
      </c>
      <c r="E93" s="11">
        <f>Dimensions!$D$26</f>
        <v>2675.6075520000004</v>
      </c>
      <c r="F93" s="3">
        <f t="shared" si="13"/>
        <v>271.84172728320004</v>
      </c>
      <c r="G93" s="11">
        <f>Dimensions!$D$33</f>
        <v>1601.8462667666804</v>
      </c>
      <c r="H93" s="4">
        <f t="shared" si="15"/>
        <v>435448.656</v>
      </c>
      <c r="I93" s="4">
        <f t="shared" si="20"/>
        <v>46473257.811600044</v>
      </c>
      <c r="K93" s="128">
        <f>5*Dimensions!$C$102</f>
        <v>0.127</v>
      </c>
      <c r="L93" s="3">
        <f>Dimensions!$D$27</f>
        <v>654.68772288</v>
      </c>
      <c r="M93" s="3">
        <f t="shared" si="16"/>
        <v>83.14534080576</v>
      </c>
      <c r="N93" s="3">
        <f>Dimensions!$D$34</f>
        <v>2402.7694001500204</v>
      </c>
      <c r="O93" s="4">
        <f t="shared" si="17"/>
        <v>199779.08065312495</v>
      </c>
      <c r="P93" s="4">
        <f t="shared" si="21"/>
        <v>18739277.765263144</v>
      </c>
      <c r="R93" s="4">
        <f t="shared" si="14"/>
        <v>635227.7366531249</v>
      </c>
      <c r="S93" s="4">
        <f t="shared" si="22"/>
        <v>65212535.57686324</v>
      </c>
    </row>
    <row r="94" spans="1:19" ht="10.5">
      <c r="A94" s="5">
        <f t="shared" si="18"/>
        <v>87</v>
      </c>
      <c r="B94" s="5">
        <f t="shared" si="19"/>
        <v>81</v>
      </c>
      <c r="D94" s="127">
        <f>4*Dimensions!$C$102</f>
        <v>0.1016</v>
      </c>
      <c r="E94" s="11">
        <f>Dimensions!$D$26</f>
        <v>2675.6075520000004</v>
      </c>
      <c r="F94" s="3">
        <f t="shared" si="13"/>
        <v>271.84172728320004</v>
      </c>
      <c r="G94" s="11">
        <f>Dimensions!$D$33</f>
        <v>1601.8462667666804</v>
      </c>
      <c r="H94" s="4">
        <f t="shared" si="15"/>
        <v>435448.656</v>
      </c>
      <c r="I94" s="4">
        <f t="shared" si="20"/>
        <v>46908706.46760005</v>
      </c>
      <c r="K94" s="128">
        <f>5*Dimensions!$C$102</f>
        <v>0.127</v>
      </c>
      <c r="L94" s="3">
        <f>Dimensions!$D$27</f>
        <v>654.68772288</v>
      </c>
      <c r="M94" s="3">
        <f t="shared" si="16"/>
        <v>83.14534080576</v>
      </c>
      <c r="N94" s="3">
        <f>Dimensions!$D$34</f>
        <v>2402.7694001500204</v>
      </c>
      <c r="O94" s="4">
        <f t="shared" si="17"/>
        <v>199779.08065312495</v>
      </c>
      <c r="P94" s="4">
        <f t="shared" si="21"/>
        <v>18939056.845916267</v>
      </c>
      <c r="R94" s="4">
        <f t="shared" si="14"/>
        <v>635227.7366531249</v>
      </c>
      <c r="S94" s="4">
        <f t="shared" si="22"/>
        <v>65847763.31351636</v>
      </c>
    </row>
    <row r="95" spans="1:19" ht="10.5">
      <c r="A95" s="5">
        <f t="shared" si="18"/>
        <v>88</v>
      </c>
      <c r="B95" s="5">
        <f t="shared" si="19"/>
        <v>82</v>
      </c>
      <c r="D95" s="127">
        <f>4*Dimensions!$C$102</f>
        <v>0.1016</v>
      </c>
      <c r="E95" s="11">
        <f>Dimensions!$D$26</f>
        <v>2675.6075520000004</v>
      </c>
      <c r="F95" s="3">
        <f t="shared" si="13"/>
        <v>271.84172728320004</v>
      </c>
      <c r="G95" s="11">
        <f>Dimensions!$D$33</f>
        <v>1601.8462667666804</v>
      </c>
      <c r="H95" s="4">
        <f t="shared" si="15"/>
        <v>435448.656</v>
      </c>
      <c r="I95" s="4">
        <f t="shared" si="20"/>
        <v>47344155.12360005</v>
      </c>
      <c r="K95" s="128">
        <f>5*Dimensions!$C$102</f>
        <v>0.127</v>
      </c>
      <c r="L95" s="3">
        <f>Dimensions!$D$27</f>
        <v>654.68772288</v>
      </c>
      <c r="M95" s="3">
        <f t="shared" si="16"/>
        <v>83.14534080576</v>
      </c>
      <c r="N95" s="3">
        <f>Dimensions!$D$34</f>
        <v>2402.7694001500204</v>
      </c>
      <c r="O95" s="4">
        <f t="shared" si="17"/>
        <v>199779.08065312495</v>
      </c>
      <c r="P95" s="4">
        <f t="shared" si="21"/>
        <v>19138835.92656939</v>
      </c>
      <c r="R95" s="4">
        <f t="shared" si="14"/>
        <v>635227.7366531249</v>
      </c>
      <c r="S95" s="4">
        <f t="shared" si="22"/>
        <v>66482991.05016949</v>
      </c>
    </row>
    <row r="96" spans="1:19" ht="10.5">
      <c r="A96" s="5">
        <f t="shared" si="18"/>
        <v>89</v>
      </c>
      <c r="B96" s="5">
        <f t="shared" si="19"/>
        <v>83</v>
      </c>
      <c r="D96" s="127">
        <f>4*Dimensions!$C$102</f>
        <v>0.1016</v>
      </c>
      <c r="E96" s="11">
        <f>Dimensions!$D$26</f>
        <v>2675.6075520000004</v>
      </c>
      <c r="F96" s="3">
        <f t="shared" si="13"/>
        <v>271.84172728320004</v>
      </c>
      <c r="G96" s="11">
        <f>Dimensions!$D$33</f>
        <v>1601.8462667666804</v>
      </c>
      <c r="H96" s="4">
        <f t="shared" si="15"/>
        <v>435448.656</v>
      </c>
      <c r="I96" s="4">
        <f t="shared" si="20"/>
        <v>47779603.779600054</v>
      </c>
      <c r="K96" s="128">
        <f>5*Dimensions!$C$102</f>
        <v>0.127</v>
      </c>
      <c r="L96" s="3">
        <f>Dimensions!$D$27</f>
        <v>654.68772288</v>
      </c>
      <c r="M96" s="3">
        <f t="shared" si="16"/>
        <v>83.14534080576</v>
      </c>
      <c r="N96" s="3">
        <f>Dimensions!$D$34</f>
        <v>2402.7694001500204</v>
      </c>
      <c r="O96" s="4">
        <f t="shared" si="17"/>
        <v>199779.08065312495</v>
      </c>
      <c r="P96" s="4">
        <f t="shared" si="21"/>
        <v>19338615.007222515</v>
      </c>
      <c r="R96" s="4">
        <f t="shared" si="14"/>
        <v>635227.7366531249</v>
      </c>
      <c r="S96" s="4">
        <f t="shared" si="22"/>
        <v>67118218.78682262</v>
      </c>
    </row>
    <row r="97" spans="1:19" ht="10.5">
      <c r="A97" s="5">
        <f t="shared" si="18"/>
        <v>90</v>
      </c>
      <c r="B97" s="5">
        <f t="shared" si="19"/>
        <v>84</v>
      </c>
      <c r="D97" s="127">
        <f>4*Dimensions!$C$102</f>
        <v>0.1016</v>
      </c>
      <c r="E97" s="11">
        <f>Dimensions!$D$26</f>
        <v>2675.6075520000004</v>
      </c>
      <c r="F97" s="3">
        <f t="shared" si="13"/>
        <v>271.84172728320004</v>
      </c>
      <c r="G97" s="11">
        <f>Dimensions!$D$33</f>
        <v>1601.8462667666804</v>
      </c>
      <c r="H97" s="4">
        <f t="shared" si="15"/>
        <v>435448.656</v>
      </c>
      <c r="I97" s="4">
        <f t="shared" si="20"/>
        <v>48215052.43560006</v>
      </c>
      <c r="K97" s="128">
        <f>5*Dimensions!$C$102</f>
        <v>0.127</v>
      </c>
      <c r="L97" s="3">
        <f>Dimensions!$D$27</f>
        <v>654.68772288</v>
      </c>
      <c r="M97" s="3">
        <f t="shared" si="16"/>
        <v>83.14534080576</v>
      </c>
      <c r="N97" s="3">
        <f>Dimensions!$D$34</f>
        <v>2402.7694001500204</v>
      </c>
      <c r="O97" s="4">
        <f t="shared" si="17"/>
        <v>199779.08065312495</v>
      </c>
      <c r="P97" s="4">
        <f t="shared" si="21"/>
        <v>19538394.08787564</v>
      </c>
      <c r="R97" s="4">
        <f t="shared" si="14"/>
        <v>635227.7366531249</v>
      </c>
      <c r="S97" s="4">
        <f t="shared" si="22"/>
        <v>67753446.52347574</v>
      </c>
    </row>
    <row r="98" spans="1:19" ht="10.5">
      <c r="A98" s="5">
        <f t="shared" si="18"/>
        <v>91</v>
      </c>
      <c r="B98" s="5">
        <f t="shared" si="19"/>
        <v>85</v>
      </c>
      <c r="D98" s="127">
        <f>4*Dimensions!$C$102</f>
        <v>0.1016</v>
      </c>
      <c r="E98" s="11">
        <f>Dimensions!$D$26</f>
        <v>2675.6075520000004</v>
      </c>
      <c r="F98" s="3">
        <f t="shared" si="13"/>
        <v>271.84172728320004</v>
      </c>
      <c r="G98" s="11">
        <f>Dimensions!$D$33</f>
        <v>1601.8462667666804</v>
      </c>
      <c r="H98" s="4">
        <f t="shared" si="15"/>
        <v>435448.656</v>
      </c>
      <c r="I98" s="4">
        <f t="shared" si="20"/>
        <v>48650501.09160006</v>
      </c>
      <c r="K98" s="128">
        <f>5*Dimensions!$C$102</f>
        <v>0.127</v>
      </c>
      <c r="L98" s="3">
        <f>Dimensions!$D$27</f>
        <v>654.68772288</v>
      </c>
      <c r="M98" s="3">
        <f t="shared" si="16"/>
        <v>83.14534080576</v>
      </c>
      <c r="N98" s="3">
        <f>Dimensions!$D$34</f>
        <v>2402.7694001500204</v>
      </c>
      <c r="O98" s="4">
        <f t="shared" si="17"/>
        <v>199779.08065312495</v>
      </c>
      <c r="P98" s="4">
        <f t="shared" si="21"/>
        <v>19738173.16852876</v>
      </c>
      <c r="R98" s="4">
        <f t="shared" si="14"/>
        <v>635227.7366531249</v>
      </c>
      <c r="S98" s="4">
        <f t="shared" si="22"/>
        <v>68388674.26012886</v>
      </c>
    </row>
    <row r="99" spans="1:19" ht="10.5">
      <c r="A99" s="5">
        <f t="shared" si="18"/>
        <v>92</v>
      </c>
      <c r="B99" s="5">
        <f t="shared" si="19"/>
        <v>86</v>
      </c>
      <c r="D99" s="127">
        <f>4*Dimensions!$C$102</f>
        <v>0.1016</v>
      </c>
      <c r="E99" s="11">
        <f>Dimensions!$D$26</f>
        <v>2675.6075520000004</v>
      </c>
      <c r="F99" s="3">
        <f t="shared" si="13"/>
        <v>271.84172728320004</v>
      </c>
      <c r="G99" s="11">
        <f>Dimensions!$D$33</f>
        <v>1601.8462667666804</v>
      </c>
      <c r="H99" s="4">
        <f t="shared" si="15"/>
        <v>435448.656</v>
      </c>
      <c r="I99" s="4">
        <f t="shared" si="20"/>
        <v>49085949.74760006</v>
      </c>
      <c r="K99" s="128">
        <f>5*Dimensions!$C$102</f>
        <v>0.127</v>
      </c>
      <c r="L99" s="3">
        <f>Dimensions!$D$27</f>
        <v>654.68772288</v>
      </c>
      <c r="M99" s="3">
        <f t="shared" si="16"/>
        <v>83.14534080576</v>
      </c>
      <c r="N99" s="3">
        <f>Dimensions!$D$34</f>
        <v>2402.7694001500204</v>
      </c>
      <c r="O99" s="4">
        <f t="shared" si="17"/>
        <v>199779.08065312495</v>
      </c>
      <c r="P99" s="4">
        <f t="shared" si="21"/>
        <v>19937952.249181885</v>
      </c>
      <c r="R99" s="4">
        <f t="shared" si="14"/>
        <v>635227.7366531249</v>
      </c>
      <c r="S99" s="4">
        <f t="shared" si="22"/>
        <v>69023901.99678198</v>
      </c>
    </row>
    <row r="100" spans="1:19" ht="10.5">
      <c r="A100" s="5">
        <f t="shared" si="18"/>
        <v>93</v>
      </c>
      <c r="B100" s="5">
        <f t="shared" si="19"/>
        <v>87</v>
      </c>
      <c r="D100" s="127">
        <f>4*Dimensions!$C$102</f>
        <v>0.1016</v>
      </c>
      <c r="E100" s="11">
        <f>Dimensions!$D$26</f>
        <v>2675.6075520000004</v>
      </c>
      <c r="F100" s="3">
        <f t="shared" si="13"/>
        <v>271.84172728320004</v>
      </c>
      <c r="G100" s="11">
        <f>Dimensions!$D$33</f>
        <v>1601.8462667666804</v>
      </c>
      <c r="H100" s="4">
        <f t="shared" si="15"/>
        <v>435448.656</v>
      </c>
      <c r="I100" s="4">
        <f t="shared" si="20"/>
        <v>49521398.40360007</v>
      </c>
      <c r="K100" s="128">
        <f>5*Dimensions!$C$102</f>
        <v>0.127</v>
      </c>
      <c r="L100" s="3">
        <f>Dimensions!$D$27</f>
        <v>654.68772288</v>
      </c>
      <c r="M100" s="3">
        <f t="shared" si="16"/>
        <v>83.14534080576</v>
      </c>
      <c r="N100" s="3">
        <f>Dimensions!$D$34</f>
        <v>2402.7694001500204</v>
      </c>
      <c r="O100" s="4">
        <f t="shared" si="17"/>
        <v>199779.08065312495</v>
      </c>
      <c r="P100" s="4">
        <f t="shared" si="21"/>
        <v>20137731.32983501</v>
      </c>
      <c r="R100" s="4">
        <f t="shared" si="14"/>
        <v>635227.7366531249</v>
      </c>
      <c r="S100" s="4">
        <f t="shared" si="22"/>
        <v>69659129.7334351</v>
      </c>
    </row>
    <row r="101" spans="1:19" ht="10.5">
      <c r="A101" s="5">
        <f t="shared" si="18"/>
        <v>94</v>
      </c>
      <c r="B101" s="5">
        <f t="shared" si="19"/>
        <v>88</v>
      </c>
      <c r="D101" s="127">
        <f>4*Dimensions!$C$102</f>
        <v>0.1016</v>
      </c>
      <c r="E101" s="11">
        <f>Dimensions!$D$26</f>
        <v>2675.6075520000004</v>
      </c>
      <c r="F101" s="3">
        <f t="shared" si="13"/>
        <v>271.84172728320004</v>
      </c>
      <c r="G101" s="11">
        <f>Dimensions!$D$33</f>
        <v>1601.8462667666804</v>
      </c>
      <c r="H101" s="4">
        <f t="shared" si="15"/>
        <v>435448.656</v>
      </c>
      <c r="I101" s="4">
        <f t="shared" si="20"/>
        <v>49956847.05960007</v>
      </c>
      <c r="K101" s="128">
        <f>5*Dimensions!$C$102</f>
        <v>0.127</v>
      </c>
      <c r="L101" s="3">
        <f>Dimensions!$D$27</f>
        <v>654.68772288</v>
      </c>
      <c r="M101" s="3">
        <f t="shared" si="16"/>
        <v>83.14534080576</v>
      </c>
      <c r="N101" s="3">
        <f>Dimensions!$D$34</f>
        <v>2402.7694001500204</v>
      </c>
      <c r="O101" s="4">
        <f t="shared" si="17"/>
        <v>199779.08065312495</v>
      </c>
      <c r="P101" s="4">
        <f t="shared" si="21"/>
        <v>20337510.410488132</v>
      </c>
      <c r="R101" s="4">
        <f t="shared" si="14"/>
        <v>635227.7366531249</v>
      </c>
      <c r="S101" s="4">
        <f t="shared" si="22"/>
        <v>70294357.47008821</v>
      </c>
    </row>
    <row r="102" spans="1:19" ht="10.5">
      <c r="A102" s="5">
        <f t="shared" si="18"/>
        <v>95</v>
      </c>
      <c r="B102" s="5">
        <f t="shared" si="19"/>
        <v>89</v>
      </c>
      <c r="D102" s="127">
        <f>4*Dimensions!$C$102</f>
        <v>0.1016</v>
      </c>
      <c r="E102" s="11">
        <f>Dimensions!$D$26</f>
        <v>2675.6075520000004</v>
      </c>
      <c r="F102" s="3">
        <f t="shared" si="13"/>
        <v>271.84172728320004</v>
      </c>
      <c r="G102" s="11">
        <f>Dimensions!$D$33</f>
        <v>1601.8462667666804</v>
      </c>
      <c r="H102" s="4">
        <f t="shared" si="15"/>
        <v>435448.656</v>
      </c>
      <c r="I102" s="4">
        <f t="shared" si="20"/>
        <v>50392295.71560007</v>
      </c>
      <c r="K102" s="128">
        <f>5*Dimensions!$C$102</f>
        <v>0.127</v>
      </c>
      <c r="L102" s="3">
        <f>Dimensions!$D$27</f>
        <v>654.68772288</v>
      </c>
      <c r="M102" s="3">
        <f t="shared" si="16"/>
        <v>83.14534080576</v>
      </c>
      <c r="N102" s="3">
        <f>Dimensions!$D$34</f>
        <v>2402.7694001500204</v>
      </c>
      <c r="O102" s="4">
        <f t="shared" si="17"/>
        <v>199779.08065312495</v>
      </c>
      <c r="P102" s="4">
        <f t="shared" si="21"/>
        <v>20537289.491141256</v>
      </c>
      <c r="R102" s="4">
        <f t="shared" si="14"/>
        <v>635227.7366531249</v>
      </c>
      <c r="S102" s="4">
        <f t="shared" si="22"/>
        <v>70929585.20674133</v>
      </c>
    </row>
    <row r="103" spans="1:19" ht="10.5">
      <c r="A103" s="5">
        <f t="shared" si="18"/>
        <v>96</v>
      </c>
      <c r="B103" s="5">
        <f t="shared" si="19"/>
        <v>90</v>
      </c>
      <c r="D103" s="127">
        <f>4*Dimensions!$C$102</f>
        <v>0.1016</v>
      </c>
      <c r="E103" s="11">
        <f>Dimensions!$D$26</f>
        <v>2675.6075520000004</v>
      </c>
      <c r="F103" s="3">
        <f t="shared" si="13"/>
        <v>271.84172728320004</v>
      </c>
      <c r="G103" s="11">
        <f>Dimensions!$D$33</f>
        <v>1601.8462667666804</v>
      </c>
      <c r="H103" s="4">
        <f t="shared" si="15"/>
        <v>435448.656</v>
      </c>
      <c r="I103" s="4">
        <f t="shared" si="20"/>
        <v>50827744.37160008</v>
      </c>
      <c r="K103" s="128">
        <f>5*Dimensions!$C$102</f>
        <v>0.127</v>
      </c>
      <c r="L103" s="3">
        <f>Dimensions!$D$27</f>
        <v>654.68772288</v>
      </c>
      <c r="M103" s="3">
        <f t="shared" si="16"/>
        <v>83.14534080576</v>
      </c>
      <c r="N103" s="3">
        <f>Dimensions!$D$34</f>
        <v>2402.7694001500204</v>
      </c>
      <c r="O103" s="4">
        <f t="shared" si="17"/>
        <v>199779.08065312495</v>
      </c>
      <c r="P103" s="4">
        <f t="shared" si="21"/>
        <v>20737068.57179438</v>
      </c>
      <c r="R103" s="4">
        <f t="shared" si="14"/>
        <v>635227.7366531249</v>
      </c>
      <c r="S103" s="4">
        <f t="shared" si="22"/>
        <v>71564812.94339445</v>
      </c>
    </row>
    <row r="104" spans="1:19" ht="10.5">
      <c r="A104" s="5">
        <f t="shared" si="18"/>
        <v>97</v>
      </c>
      <c r="B104" s="5">
        <f t="shared" si="19"/>
        <v>91</v>
      </c>
      <c r="D104" s="127">
        <f>4*Dimensions!$C$102</f>
        <v>0.1016</v>
      </c>
      <c r="E104" s="11">
        <f>Dimensions!$D$26</f>
        <v>2675.6075520000004</v>
      </c>
      <c r="F104" s="3">
        <f aca="true" t="shared" si="23" ref="F104:F123">E104*D104</f>
        <v>271.84172728320004</v>
      </c>
      <c r="G104" s="11">
        <f>Dimensions!$D$33</f>
        <v>1601.8462667666804</v>
      </c>
      <c r="H104" s="4">
        <f t="shared" si="15"/>
        <v>435448.656</v>
      </c>
      <c r="I104" s="4">
        <f t="shared" si="20"/>
        <v>51263193.02760008</v>
      </c>
      <c r="K104" s="128">
        <f>5*Dimensions!$C$102</f>
        <v>0.127</v>
      </c>
      <c r="L104" s="3">
        <f>Dimensions!$D$27</f>
        <v>654.68772288</v>
      </c>
      <c r="M104" s="3">
        <f t="shared" si="16"/>
        <v>83.14534080576</v>
      </c>
      <c r="N104" s="3">
        <f>Dimensions!$D$34</f>
        <v>2402.7694001500204</v>
      </c>
      <c r="O104" s="4">
        <f t="shared" si="17"/>
        <v>199779.08065312495</v>
      </c>
      <c r="P104" s="4">
        <f t="shared" si="21"/>
        <v>20936847.652447503</v>
      </c>
      <c r="R104" s="4">
        <f aca="true" t="shared" si="24" ref="R104:R123">H104+O104</f>
        <v>635227.7366531249</v>
      </c>
      <c r="S104" s="4">
        <f t="shared" si="22"/>
        <v>72200040.68004757</v>
      </c>
    </row>
    <row r="105" spans="1:19" ht="10.5">
      <c r="A105" s="5">
        <f t="shared" si="18"/>
        <v>98</v>
      </c>
      <c r="B105" s="5">
        <f t="shared" si="19"/>
        <v>92</v>
      </c>
      <c r="D105" s="127">
        <f>4*Dimensions!$C$102</f>
        <v>0.1016</v>
      </c>
      <c r="E105" s="11">
        <f>Dimensions!$D$26</f>
        <v>2675.6075520000004</v>
      </c>
      <c r="F105" s="3">
        <f t="shared" si="23"/>
        <v>271.84172728320004</v>
      </c>
      <c r="G105" s="11">
        <f>Dimensions!$D$33</f>
        <v>1601.8462667666804</v>
      </c>
      <c r="H105" s="4">
        <f t="shared" si="15"/>
        <v>435448.656</v>
      </c>
      <c r="I105" s="4">
        <f t="shared" si="20"/>
        <v>51698641.68360008</v>
      </c>
      <c r="K105" s="128">
        <f>5*Dimensions!$C$102</f>
        <v>0.127</v>
      </c>
      <c r="L105" s="3">
        <f>Dimensions!$D$27</f>
        <v>654.68772288</v>
      </c>
      <c r="M105" s="3">
        <f t="shared" si="16"/>
        <v>83.14534080576</v>
      </c>
      <c r="N105" s="3">
        <f>Dimensions!$D$34</f>
        <v>2402.7694001500204</v>
      </c>
      <c r="O105" s="4">
        <f t="shared" si="17"/>
        <v>199779.08065312495</v>
      </c>
      <c r="P105" s="4">
        <f t="shared" si="21"/>
        <v>21136626.733100627</v>
      </c>
      <c r="R105" s="4">
        <f t="shared" si="24"/>
        <v>635227.7366531249</v>
      </c>
      <c r="S105" s="4">
        <f t="shared" si="22"/>
        <v>72835268.41670069</v>
      </c>
    </row>
    <row r="106" spans="1:19" ht="10.5">
      <c r="A106" s="5">
        <f t="shared" si="18"/>
        <v>99</v>
      </c>
      <c r="B106" s="5">
        <f t="shared" si="19"/>
        <v>93</v>
      </c>
      <c r="D106" s="127">
        <f>4*Dimensions!$C$102</f>
        <v>0.1016</v>
      </c>
      <c r="E106" s="11">
        <f>Dimensions!$D$26</f>
        <v>2675.6075520000004</v>
      </c>
      <c r="F106" s="3">
        <f t="shared" si="23"/>
        <v>271.84172728320004</v>
      </c>
      <c r="G106" s="11">
        <f>Dimensions!$D$33</f>
        <v>1601.8462667666804</v>
      </c>
      <c r="H106" s="4">
        <f t="shared" si="15"/>
        <v>435448.656</v>
      </c>
      <c r="I106" s="4">
        <f t="shared" si="20"/>
        <v>52134090.339600086</v>
      </c>
      <c r="K106" s="128">
        <f>5*Dimensions!$C$102</f>
        <v>0.127</v>
      </c>
      <c r="L106" s="3">
        <f>Dimensions!$D$27</f>
        <v>654.68772288</v>
      </c>
      <c r="M106" s="3">
        <f t="shared" si="16"/>
        <v>83.14534080576</v>
      </c>
      <c r="N106" s="3">
        <f>Dimensions!$D$34</f>
        <v>2402.7694001500204</v>
      </c>
      <c r="O106" s="4">
        <f t="shared" si="17"/>
        <v>199779.08065312495</v>
      </c>
      <c r="P106" s="4">
        <f t="shared" si="21"/>
        <v>21336405.81375375</v>
      </c>
      <c r="R106" s="4">
        <f t="shared" si="24"/>
        <v>635227.7366531249</v>
      </c>
      <c r="S106" s="4">
        <f t="shared" si="22"/>
        <v>73470496.15335381</v>
      </c>
    </row>
    <row r="107" spans="1:19" ht="10.5">
      <c r="A107" s="5">
        <f t="shared" si="18"/>
        <v>100</v>
      </c>
      <c r="B107" s="5">
        <f t="shared" si="19"/>
        <v>94</v>
      </c>
      <c r="D107" s="127">
        <f>4*Dimensions!$C$102</f>
        <v>0.1016</v>
      </c>
      <c r="E107" s="11">
        <f>Dimensions!$D$26</f>
        <v>2675.6075520000004</v>
      </c>
      <c r="F107" s="3">
        <f t="shared" si="23"/>
        <v>271.84172728320004</v>
      </c>
      <c r="G107" s="11">
        <f>Dimensions!$D$33</f>
        <v>1601.8462667666804</v>
      </c>
      <c r="H107" s="4">
        <f t="shared" si="15"/>
        <v>435448.656</v>
      </c>
      <c r="I107" s="4">
        <f t="shared" si="20"/>
        <v>52569538.99560009</v>
      </c>
      <c r="K107" s="128">
        <f>5*Dimensions!$C$102</f>
        <v>0.127</v>
      </c>
      <c r="L107" s="3">
        <f>Dimensions!$D$27</f>
        <v>654.68772288</v>
      </c>
      <c r="M107" s="3">
        <f t="shared" si="16"/>
        <v>83.14534080576</v>
      </c>
      <c r="N107" s="3">
        <f>Dimensions!$D$34</f>
        <v>2402.7694001500204</v>
      </c>
      <c r="O107" s="4">
        <f t="shared" si="17"/>
        <v>199779.08065312495</v>
      </c>
      <c r="P107" s="4">
        <f t="shared" si="21"/>
        <v>21536184.894406874</v>
      </c>
      <c r="R107" s="4">
        <f t="shared" si="24"/>
        <v>635227.7366531249</v>
      </c>
      <c r="S107" s="4">
        <f t="shared" si="22"/>
        <v>74105723.89000693</v>
      </c>
    </row>
    <row r="108" spans="1:19" ht="10.5">
      <c r="A108" s="5">
        <f t="shared" si="18"/>
        <v>101</v>
      </c>
      <c r="B108" s="5">
        <f t="shared" si="19"/>
        <v>95</v>
      </c>
      <c r="D108" s="127">
        <f>4*Dimensions!$C$102</f>
        <v>0.1016</v>
      </c>
      <c r="E108" s="11">
        <f>Dimensions!$D$26</f>
        <v>2675.6075520000004</v>
      </c>
      <c r="F108" s="3">
        <f t="shared" si="23"/>
        <v>271.84172728320004</v>
      </c>
      <c r="G108" s="11">
        <f>Dimensions!$D$33</f>
        <v>1601.8462667666804</v>
      </c>
      <c r="H108" s="4">
        <f t="shared" si="15"/>
        <v>435448.656</v>
      </c>
      <c r="I108" s="4">
        <f t="shared" si="20"/>
        <v>53004987.65160009</v>
      </c>
      <c r="K108" s="128">
        <f>5*Dimensions!$C$102</f>
        <v>0.127</v>
      </c>
      <c r="L108" s="3">
        <f>Dimensions!$D$27</f>
        <v>654.68772288</v>
      </c>
      <c r="M108" s="3">
        <f t="shared" si="16"/>
        <v>83.14534080576</v>
      </c>
      <c r="N108" s="3">
        <f>Dimensions!$D$34</f>
        <v>2402.7694001500204</v>
      </c>
      <c r="O108" s="4">
        <f t="shared" si="17"/>
        <v>199779.08065312495</v>
      </c>
      <c r="P108" s="4">
        <f t="shared" si="21"/>
        <v>21735963.975059997</v>
      </c>
      <c r="R108" s="4">
        <f t="shared" si="24"/>
        <v>635227.7366531249</v>
      </c>
      <c r="S108" s="4">
        <f t="shared" si="22"/>
        <v>74740951.62666005</v>
      </c>
    </row>
    <row r="109" spans="1:20" ht="10.5">
      <c r="A109" s="13">
        <f t="shared" si="18"/>
        <v>102</v>
      </c>
      <c r="B109" s="13">
        <f t="shared" si="19"/>
        <v>96</v>
      </c>
      <c r="C109" s="13"/>
      <c r="D109" s="14">
        <f>4*Dimensions!$C$102</f>
        <v>0.1016</v>
      </c>
      <c r="E109" s="14">
        <f>Dimensions!$D$26</f>
        <v>2675.6075520000004</v>
      </c>
      <c r="F109" s="7">
        <f t="shared" si="23"/>
        <v>271.84172728320004</v>
      </c>
      <c r="G109" s="14">
        <f>Dimensions!$D$33</f>
        <v>1601.8462667666804</v>
      </c>
      <c r="H109" s="8">
        <f t="shared" si="15"/>
        <v>435448.656</v>
      </c>
      <c r="I109" s="8">
        <f t="shared" si="20"/>
        <v>53440436.307600096</v>
      </c>
      <c r="J109" s="6"/>
      <c r="K109" s="7">
        <f>5*Dimensions!$C$102</f>
        <v>0.127</v>
      </c>
      <c r="L109" s="7">
        <f>Dimensions!$D$27</f>
        <v>654.68772288</v>
      </c>
      <c r="M109" s="7">
        <f t="shared" si="16"/>
        <v>83.14534080576</v>
      </c>
      <c r="N109" s="7">
        <f>Dimensions!$D$34</f>
        <v>2402.7694001500204</v>
      </c>
      <c r="O109" s="8">
        <f t="shared" si="17"/>
        <v>199779.08065312495</v>
      </c>
      <c r="P109" s="8">
        <f t="shared" si="21"/>
        <v>21935743.05571312</v>
      </c>
      <c r="Q109" s="6"/>
      <c r="R109" s="8">
        <f t="shared" si="24"/>
        <v>635227.7366531249</v>
      </c>
      <c r="S109" s="8">
        <f t="shared" si="22"/>
        <v>75376179.36331317</v>
      </c>
      <c r="T109" s="45"/>
    </row>
    <row r="110" spans="1:19" ht="10.5">
      <c r="A110" s="5">
        <f t="shared" si="18"/>
        <v>103</v>
      </c>
      <c r="B110" s="5">
        <f t="shared" si="19"/>
        <v>97</v>
      </c>
      <c r="D110" s="127">
        <f>4*Dimensions!$C$102</f>
        <v>0.1016</v>
      </c>
      <c r="E110" s="11">
        <f>Dimensions!$D$26</f>
        <v>2675.6075520000004</v>
      </c>
      <c r="F110" s="3">
        <f t="shared" si="23"/>
        <v>271.84172728320004</v>
      </c>
      <c r="G110" s="11">
        <f>Dimensions!$D$33</f>
        <v>1601.8462667666804</v>
      </c>
      <c r="H110" s="4">
        <f t="shared" si="15"/>
        <v>435448.656</v>
      </c>
      <c r="I110" s="4">
        <f t="shared" si="20"/>
        <v>53875884.9636001</v>
      </c>
      <c r="K110" s="128">
        <f>5*Dimensions!$C$102</f>
        <v>0.127</v>
      </c>
      <c r="L110" s="3">
        <f>Dimensions!$D$27</f>
        <v>654.68772288</v>
      </c>
      <c r="M110" s="3">
        <f t="shared" si="16"/>
        <v>83.14534080576</v>
      </c>
      <c r="N110" s="3">
        <f>Dimensions!$D$34</f>
        <v>2402.7694001500204</v>
      </c>
      <c r="O110" s="4">
        <f t="shared" si="17"/>
        <v>199779.08065312495</v>
      </c>
      <c r="P110" s="4">
        <f t="shared" si="21"/>
        <v>22135522.136366244</v>
      </c>
      <c r="R110" s="4">
        <f t="shared" si="24"/>
        <v>635227.7366531249</v>
      </c>
      <c r="S110" s="4">
        <f t="shared" si="22"/>
        <v>76011407.09996629</v>
      </c>
    </row>
    <row r="111" spans="1:19" ht="10.5">
      <c r="A111" s="5">
        <f t="shared" si="18"/>
        <v>104</v>
      </c>
      <c r="B111" s="5">
        <f t="shared" si="19"/>
        <v>98</v>
      </c>
      <c r="D111" s="127">
        <f>4*Dimensions!$C$102</f>
        <v>0.1016</v>
      </c>
      <c r="E111" s="11">
        <f>Dimensions!$D$26</f>
        <v>2675.6075520000004</v>
      </c>
      <c r="F111" s="3">
        <f t="shared" si="23"/>
        <v>271.84172728320004</v>
      </c>
      <c r="G111" s="11">
        <f>Dimensions!$D$33</f>
        <v>1601.8462667666804</v>
      </c>
      <c r="H111" s="4">
        <f t="shared" si="15"/>
        <v>435448.656</v>
      </c>
      <c r="I111" s="4">
        <f t="shared" si="20"/>
        <v>54311333.6196001</v>
      </c>
      <c r="K111" s="128">
        <f>5*Dimensions!$C$102</f>
        <v>0.127</v>
      </c>
      <c r="L111" s="3">
        <f>Dimensions!$D$27</f>
        <v>654.68772288</v>
      </c>
      <c r="M111" s="3">
        <f t="shared" si="16"/>
        <v>83.14534080576</v>
      </c>
      <c r="N111" s="3">
        <f>Dimensions!$D$34</f>
        <v>2402.7694001500204</v>
      </c>
      <c r="O111" s="4">
        <f t="shared" si="17"/>
        <v>199779.08065312495</v>
      </c>
      <c r="P111" s="4">
        <f t="shared" si="21"/>
        <v>22335301.217019368</v>
      </c>
      <c r="R111" s="4">
        <f t="shared" si="24"/>
        <v>635227.7366531249</v>
      </c>
      <c r="S111" s="4">
        <f t="shared" si="22"/>
        <v>76646634.8366194</v>
      </c>
    </row>
    <row r="112" spans="1:19" ht="10.5">
      <c r="A112" s="5">
        <f t="shared" si="18"/>
        <v>105</v>
      </c>
      <c r="B112" s="5">
        <f t="shared" si="19"/>
        <v>99</v>
      </c>
      <c r="D112" s="127">
        <f>4*Dimensions!$C$102</f>
        <v>0.1016</v>
      </c>
      <c r="E112" s="11">
        <f>Dimensions!$D$26</f>
        <v>2675.6075520000004</v>
      </c>
      <c r="F112" s="3">
        <f t="shared" si="23"/>
        <v>271.84172728320004</v>
      </c>
      <c r="G112" s="11">
        <f>Dimensions!$D$33</f>
        <v>1601.8462667666804</v>
      </c>
      <c r="H112" s="4">
        <f t="shared" si="15"/>
        <v>435448.656</v>
      </c>
      <c r="I112" s="4">
        <f t="shared" si="20"/>
        <v>54746782.275600106</v>
      </c>
      <c r="K112" s="128">
        <f>5*Dimensions!$C$102</f>
        <v>0.127</v>
      </c>
      <c r="L112" s="3">
        <f>Dimensions!$D$27</f>
        <v>654.68772288</v>
      </c>
      <c r="M112" s="3">
        <f t="shared" si="16"/>
        <v>83.14534080576</v>
      </c>
      <c r="N112" s="3">
        <f>Dimensions!$D$34</f>
        <v>2402.7694001500204</v>
      </c>
      <c r="O112" s="4">
        <f t="shared" si="17"/>
        <v>199779.08065312495</v>
      </c>
      <c r="P112" s="4">
        <f t="shared" si="21"/>
        <v>22535080.29767249</v>
      </c>
      <c r="R112" s="4">
        <f t="shared" si="24"/>
        <v>635227.7366531249</v>
      </c>
      <c r="S112" s="4">
        <f t="shared" si="22"/>
        <v>77281862.57327253</v>
      </c>
    </row>
    <row r="113" spans="1:19" ht="10.5">
      <c r="A113" s="5">
        <f t="shared" si="18"/>
        <v>106</v>
      </c>
      <c r="B113" s="5">
        <f t="shared" si="19"/>
        <v>100</v>
      </c>
      <c r="D113" s="127">
        <f>4*Dimensions!$C$102</f>
        <v>0.1016</v>
      </c>
      <c r="E113" s="11">
        <f>Dimensions!$D$26</f>
        <v>2675.6075520000004</v>
      </c>
      <c r="F113" s="3">
        <f t="shared" si="23"/>
        <v>271.84172728320004</v>
      </c>
      <c r="G113" s="11">
        <f>Dimensions!$D$33</f>
        <v>1601.8462667666804</v>
      </c>
      <c r="H113" s="4">
        <f t="shared" si="15"/>
        <v>435448.656</v>
      </c>
      <c r="I113" s="4">
        <f t="shared" si="20"/>
        <v>55182230.93160011</v>
      </c>
      <c r="K113" s="128">
        <f>5*Dimensions!$C$102</f>
        <v>0.127</v>
      </c>
      <c r="L113" s="3">
        <f>Dimensions!$D$27</f>
        <v>654.68772288</v>
      </c>
      <c r="M113" s="3">
        <f t="shared" si="16"/>
        <v>83.14534080576</v>
      </c>
      <c r="N113" s="3">
        <f>Dimensions!$D$34</f>
        <v>2402.7694001500204</v>
      </c>
      <c r="O113" s="4">
        <f t="shared" si="17"/>
        <v>199779.08065312495</v>
      </c>
      <c r="P113" s="4">
        <f t="shared" si="21"/>
        <v>22734859.378325615</v>
      </c>
      <c r="R113" s="4">
        <f t="shared" si="24"/>
        <v>635227.7366531249</v>
      </c>
      <c r="S113" s="4">
        <f t="shared" si="22"/>
        <v>77917090.30992565</v>
      </c>
    </row>
    <row r="114" spans="1:19" ht="10.5">
      <c r="A114" s="5">
        <f t="shared" si="18"/>
        <v>107</v>
      </c>
      <c r="B114" s="5">
        <f t="shared" si="19"/>
        <v>101</v>
      </c>
      <c r="D114" s="127">
        <f>4*Dimensions!$C$102</f>
        <v>0.1016</v>
      </c>
      <c r="E114" s="11">
        <f>Dimensions!$D$26</f>
        <v>2675.6075520000004</v>
      </c>
      <c r="F114" s="3">
        <f t="shared" si="23"/>
        <v>271.84172728320004</v>
      </c>
      <c r="G114" s="11">
        <f>Dimensions!$D$33</f>
        <v>1601.8462667666804</v>
      </c>
      <c r="H114" s="4">
        <f t="shared" si="15"/>
        <v>435448.656</v>
      </c>
      <c r="I114" s="4">
        <f t="shared" si="20"/>
        <v>55617679.58760011</v>
      </c>
      <c r="K114" s="128">
        <f>5*Dimensions!$C$102</f>
        <v>0.127</v>
      </c>
      <c r="L114" s="3">
        <f>Dimensions!$D$27</f>
        <v>654.68772288</v>
      </c>
      <c r="M114" s="3">
        <f t="shared" si="16"/>
        <v>83.14534080576</v>
      </c>
      <c r="N114" s="3">
        <f>Dimensions!$D$34</f>
        <v>2402.7694001500204</v>
      </c>
      <c r="O114" s="4">
        <f t="shared" si="17"/>
        <v>199779.08065312495</v>
      </c>
      <c r="P114" s="4">
        <f t="shared" si="21"/>
        <v>22934638.45897874</v>
      </c>
      <c r="R114" s="4">
        <f t="shared" si="24"/>
        <v>635227.7366531249</v>
      </c>
      <c r="S114" s="4">
        <f t="shared" si="22"/>
        <v>78552318.04657876</v>
      </c>
    </row>
    <row r="115" spans="1:19" ht="10.5">
      <c r="A115" s="5">
        <f t="shared" si="18"/>
        <v>108</v>
      </c>
      <c r="B115" s="5">
        <f t="shared" si="19"/>
        <v>102</v>
      </c>
      <c r="D115" s="127">
        <f>4*Dimensions!$C$102</f>
        <v>0.1016</v>
      </c>
      <c r="E115" s="11">
        <f>Dimensions!$D$26</f>
        <v>2675.6075520000004</v>
      </c>
      <c r="F115" s="3">
        <f t="shared" si="23"/>
        <v>271.84172728320004</v>
      </c>
      <c r="G115" s="11">
        <f>Dimensions!$D$33</f>
        <v>1601.8462667666804</v>
      </c>
      <c r="H115" s="4">
        <f t="shared" si="15"/>
        <v>435448.656</v>
      </c>
      <c r="I115" s="4">
        <f t="shared" si="20"/>
        <v>56053128.243600115</v>
      </c>
      <c r="K115" s="128">
        <f>5*Dimensions!$C$102</f>
        <v>0.127</v>
      </c>
      <c r="L115" s="3">
        <f>Dimensions!$D$27</f>
        <v>654.68772288</v>
      </c>
      <c r="M115" s="3">
        <f t="shared" si="16"/>
        <v>83.14534080576</v>
      </c>
      <c r="N115" s="3">
        <f>Dimensions!$D$34</f>
        <v>2402.7694001500204</v>
      </c>
      <c r="O115" s="4">
        <f t="shared" si="17"/>
        <v>199779.08065312495</v>
      </c>
      <c r="P115" s="4">
        <f t="shared" si="21"/>
        <v>23134417.539631862</v>
      </c>
      <c r="R115" s="4">
        <f t="shared" si="24"/>
        <v>635227.7366531249</v>
      </c>
      <c r="S115" s="4">
        <f t="shared" si="22"/>
        <v>79187545.78323188</v>
      </c>
    </row>
    <row r="116" spans="1:19" ht="10.5">
      <c r="A116" s="5">
        <f t="shared" si="18"/>
        <v>109</v>
      </c>
      <c r="B116" s="5">
        <f t="shared" si="19"/>
        <v>103</v>
      </c>
      <c r="D116" s="127">
        <f>4*Dimensions!$C$102</f>
        <v>0.1016</v>
      </c>
      <c r="E116" s="11">
        <f>Dimensions!$D$26</f>
        <v>2675.6075520000004</v>
      </c>
      <c r="F116" s="3">
        <f t="shared" si="23"/>
        <v>271.84172728320004</v>
      </c>
      <c r="G116" s="11">
        <f>Dimensions!$D$33</f>
        <v>1601.8462667666804</v>
      </c>
      <c r="H116" s="4">
        <f t="shared" si="15"/>
        <v>435448.656</v>
      </c>
      <c r="I116" s="4">
        <f t="shared" si="20"/>
        <v>56488576.89960012</v>
      </c>
      <c r="K116" s="128">
        <f>5*Dimensions!$C$102</f>
        <v>0.127</v>
      </c>
      <c r="L116" s="3">
        <f>Dimensions!$D$27</f>
        <v>654.68772288</v>
      </c>
      <c r="M116" s="3">
        <f t="shared" si="16"/>
        <v>83.14534080576</v>
      </c>
      <c r="N116" s="3">
        <f>Dimensions!$D$34</f>
        <v>2402.7694001500204</v>
      </c>
      <c r="O116" s="4">
        <f t="shared" si="17"/>
        <v>199779.08065312495</v>
      </c>
      <c r="P116" s="4">
        <f t="shared" si="21"/>
        <v>23334196.620284986</v>
      </c>
      <c r="R116" s="4">
        <f t="shared" si="24"/>
        <v>635227.7366531249</v>
      </c>
      <c r="S116" s="4">
        <f t="shared" si="22"/>
        <v>79822773.519885</v>
      </c>
    </row>
    <row r="117" spans="1:19" s="45" customFormat="1" ht="10.5">
      <c r="A117" s="16">
        <f t="shared" si="18"/>
        <v>110</v>
      </c>
      <c r="B117" s="16">
        <f t="shared" si="19"/>
        <v>104</v>
      </c>
      <c r="C117" s="16"/>
      <c r="D117" s="127">
        <f>4*Dimensions!$C$102</f>
        <v>0.1016</v>
      </c>
      <c r="E117" s="11">
        <f>Dimensions!$D$26</f>
        <v>2675.6075520000004</v>
      </c>
      <c r="F117" s="43">
        <f t="shared" si="23"/>
        <v>271.84172728320004</v>
      </c>
      <c r="G117" s="11">
        <f>Dimensions!$D$33</f>
        <v>1601.8462667666804</v>
      </c>
      <c r="H117" s="44">
        <f t="shared" si="15"/>
        <v>435448.656</v>
      </c>
      <c r="I117" s="44">
        <f t="shared" si="20"/>
        <v>56924025.55560012</v>
      </c>
      <c r="K117" s="128">
        <f>5*Dimensions!$C$102</f>
        <v>0.127</v>
      </c>
      <c r="L117" s="3">
        <f>Dimensions!$D$27</f>
        <v>654.68772288</v>
      </c>
      <c r="M117" s="43">
        <f t="shared" si="16"/>
        <v>83.14534080576</v>
      </c>
      <c r="N117" s="3">
        <f>Dimensions!$D$34</f>
        <v>2402.7694001500204</v>
      </c>
      <c r="O117" s="44">
        <f t="shared" si="17"/>
        <v>199779.08065312495</v>
      </c>
      <c r="P117" s="44">
        <f t="shared" si="21"/>
        <v>23533975.70093811</v>
      </c>
      <c r="R117" s="44">
        <f t="shared" si="24"/>
        <v>635227.7366531249</v>
      </c>
      <c r="S117" s="44">
        <f t="shared" si="22"/>
        <v>80458001.25653812</v>
      </c>
    </row>
    <row r="118" spans="1:19" ht="10.5">
      <c r="A118" s="5">
        <f t="shared" si="18"/>
        <v>111</v>
      </c>
      <c r="B118" s="5">
        <f t="shared" si="19"/>
        <v>105</v>
      </c>
      <c r="D118" s="127">
        <f>4*Dimensions!$C$102</f>
        <v>0.1016</v>
      </c>
      <c r="E118" s="11">
        <f>Dimensions!$D$26</f>
        <v>2675.6075520000004</v>
      </c>
      <c r="F118" s="3">
        <f t="shared" si="23"/>
        <v>271.84172728320004</v>
      </c>
      <c r="G118" s="11">
        <f>Dimensions!$D$33</f>
        <v>1601.8462667666804</v>
      </c>
      <c r="H118" s="4">
        <f t="shared" si="15"/>
        <v>435448.656</v>
      </c>
      <c r="I118" s="4">
        <f t="shared" si="20"/>
        <v>57359474.211600125</v>
      </c>
      <c r="K118" s="128">
        <f>5*Dimensions!$C$102</f>
        <v>0.127</v>
      </c>
      <c r="L118" s="3">
        <f>Dimensions!$D$27</f>
        <v>654.68772288</v>
      </c>
      <c r="M118" s="3">
        <f t="shared" si="16"/>
        <v>83.14534080576</v>
      </c>
      <c r="N118" s="3">
        <f>Dimensions!$D$34</f>
        <v>2402.7694001500204</v>
      </c>
      <c r="O118" s="4">
        <f t="shared" si="17"/>
        <v>199779.08065312495</v>
      </c>
      <c r="P118" s="4">
        <f t="shared" si="21"/>
        <v>23733754.781591233</v>
      </c>
      <c r="R118" s="4">
        <f t="shared" si="24"/>
        <v>635227.7366531249</v>
      </c>
      <c r="S118" s="4">
        <f t="shared" si="22"/>
        <v>81093228.99319124</v>
      </c>
    </row>
    <row r="119" spans="1:19" ht="10.5">
      <c r="A119" s="5">
        <f t="shared" si="18"/>
        <v>112</v>
      </c>
      <c r="B119" s="5">
        <f t="shared" si="19"/>
        <v>106</v>
      </c>
      <c r="D119" s="127">
        <f>4*Dimensions!$C$102</f>
        <v>0.1016</v>
      </c>
      <c r="E119" s="11">
        <f>Dimensions!$D$26</f>
        <v>2675.6075520000004</v>
      </c>
      <c r="F119" s="3">
        <f t="shared" si="23"/>
        <v>271.84172728320004</v>
      </c>
      <c r="G119" s="11">
        <f>Dimensions!$D$33</f>
        <v>1601.8462667666804</v>
      </c>
      <c r="H119" s="4">
        <f t="shared" si="15"/>
        <v>435448.656</v>
      </c>
      <c r="I119" s="4">
        <f t="shared" si="20"/>
        <v>57794922.86760013</v>
      </c>
      <c r="K119" s="128">
        <f>5*Dimensions!$C$102</f>
        <v>0.127</v>
      </c>
      <c r="L119" s="3">
        <f>Dimensions!$D$27</f>
        <v>654.68772288</v>
      </c>
      <c r="M119" s="3">
        <f t="shared" si="16"/>
        <v>83.14534080576</v>
      </c>
      <c r="N119" s="3">
        <f>Dimensions!$D$34</f>
        <v>2402.7694001500204</v>
      </c>
      <c r="O119" s="4">
        <f t="shared" si="17"/>
        <v>199779.08065312495</v>
      </c>
      <c r="P119" s="4">
        <f t="shared" si="21"/>
        <v>23933533.862244356</v>
      </c>
      <c r="R119" s="4">
        <f t="shared" si="24"/>
        <v>635227.7366531249</v>
      </c>
      <c r="S119" s="4">
        <f t="shared" si="22"/>
        <v>81728456.72984436</v>
      </c>
    </row>
    <row r="120" spans="1:19" ht="10.5">
      <c r="A120" s="5">
        <f t="shared" si="18"/>
        <v>113</v>
      </c>
      <c r="B120" s="5">
        <f t="shared" si="19"/>
        <v>107</v>
      </c>
      <c r="D120" s="127">
        <f>4*Dimensions!$C$102</f>
        <v>0.1016</v>
      </c>
      <c r="E120" s="11">
        <f>Dimensions!$D$26</f>
        <v>2675.6075520000004</v>
      </c>
      <c r="F120" s="3">
        <f t="shared" si="23"/>
        <v>271.84172728320004</v>
      </c>
      <c r="G120" s="11">
        <f>Dimensions!$D$33</f>
        <v>1601.8462667666804</v>
      </c>
      <c r="H120" s="4">
        <f t="shared" si="15"/>
        <v>435448.656</v>
      </c>
      <c r="I120" s="4">
        <f t="shared" si="20"/>
        <v>58230371.52360013</v>
      </c>
      <c r="K120" s="128">
        <f>5*Dimensions!$C$102</f>
        <v>0.127</v>
      </c>
      <c r="L120" s="3">
        <f>Dimensions!$D$27</f>
        <v>654.68772288</v>
      </c>
      <c r="M120" s="3">
        <f t="shared" si="16"/>
        <v>83.14534080576</v>
      </c>
      <c r="N120" s="3">
        <f>Dimensions!$D$34</f>
        <v>2402.7694001500204</v>
      </c>
      <c r="O120" s="4">
        <f t="shared" si="17"/>
        <v>199779.08065312495</v>
      </c>
      <c r="P120" s="4">
        <f t="shared" si="21"/>
        <v>24133312.94289748</v>
      </c>
      <c r="R120" s="4">
        <f t="shared" si="24"/>
        <v>635227.7366531249</v>
      </c>
      <c r="S120" s="4">
        <f t="shared" si="22"/>
        <v>82363684.46649748</v>
      </c>
    </row>
    <row r="121" spans="1:19" ht="10.5">
      <c r="A121" s="5">
        <f t="shared" si="18"/>
        <v>114</v>
      </c>
      <c r="B121" s="5">
        <f t="shared" si="19"/>
        <v>108</v>
      </c>
      <c r="D121" s="127">
        <f>4*Dimensions!$C$102</f>
        <v>0.1016</v>
      </c>
      <c r="E121" s="11">
        <f>Dimensions!$D$26</f>
        <v>2675.6075520000004</v>
      </c>
      <c r="F121" s="3">
        <f t="shared" si="23"/>
        <v>271.84172728320004</v>
      </c>
      <c r="G121" s="11">
        <f>Dimensions!$D$33</f>
        <v>1601.8462667666804</v>
      </c>
      <c r="H121" s="4">
        <f t="shared" si="15"/>
        <v>435448.656</v>
      </c>
      <c r="I121" s="4">
        <f t="shared" si="20"/>
        <v>58665820.179600134</v>
      </c>
      <c r="K121" s="128">
        <f>5*Dimensions!$C$102</f>
        <v>0.127</v>
      </c>
      <c r="L121" s="3">
        <f>Dimensions!$D$27</f>
        <v>654.68772288</v>
      </c>
      <c r="M121" s="3">
        <f t="shared" si="16"/>
        <v>83.14534080576</v>
      </c>
      <c r="N121" s="3">
        <f>Dimensions!$D$34</f>
        <v>2402.7694001500204</v>
      </c>
      <c r="O121" s="4">
        <f t="shared" si="17"/>
        <v>199779.08065312495</v>
      </c>
      <c r="P121" s="4">
        <f t="shared" si="21"/>
        <v>24333092.023550604</v>
      </c>
      <c r="R121" s="4">
        <f t="shared" si="24"/>
        <v>635227.7366531249</v>
      </c>
      <c r="S121" s="4">
        <f t="shared" si="22"/>
        <v>82998912.2031506</v>
      </c>
    </row>
    <row r="122" spans="1:19" ht="10.5">
      <c r="A122" s="5">
        <f t="shared" si="18"/>
        <v>115</v>
      </c>
      <c r="B122" s="5">
        <f t="shared" si="19"/>
        <v>109</v>
      </c>
      <c r="D122" s="127">
        <f>4*Dimensions!$C$102</f>
        <v>0.1016</v>
      </c>
      <c r="E122" s="11">
        <f>Dimensions!$D$26</f>
        <v>2675.6075520000004</v>
      </c>
      <c r="F122" s="3">
        <f t="shared" si="23"/>
        <v>271.84172728320004</v>
      </c>
      <c r="G122" s="11">
        <f>Dimensions!$D$33</f>
        <v>1601.8462667666804</v>
      </c>
      <c r="H122" s="4">
        <f t="shared" si="15"/>
        <v>435448.656</v>
      </c>
      <c r="I122" s="4">
        <f t="shared" si="20"/>
        <v>59101268.83560014</v>
      </c>
      <c r="K122" s="128">
        <f>5*Dimensions!$C$102</f>
        <v>0.127</v>
      </c>
      <c r="L122" s="3">
        <f>Dimensions!$D$27</f>
        <v>654.68772288</v>
      </c>
      <c r="M122" s="3">
        <f t="shared" si="16"/>
        <v>83.14534080576</v>
      </c>
      <c r="N122" s="3">
        <f>Dimensions!$D$34</f>
        <v>2402.7694001500204</v>
      </c>
      <c r="O122" s="4">
        <f t="shared" si="17"/>
        <v>199779.08065312495</v>
      </c>
      <c r="P122" s="4">
        <f t="shared" si="21"/>
        <v>24532871.104203727</v>
      </c>
      <c r="R122" s="4">
        <f t="shared" si="24"/>
        <v>635227.7366531249</v>
      </c>
      <c r="S122" s="4">
        <f t="shared" si="22"/>
        <v>83634139.93980372</v>
      </c>
    </row>
    <row r="123" spans="1:19" ht="10.5">
      <c r="A123" s="5">
        <f t="shared" si="18"/>
        <v>116</v>
      </c>
      <c r="B123" s="5">
        <f t="shared" si="19"/>
        <v>110</v>
      </c>
      <c r="D123" s="127">
        <f>4*Dimensions!$C$102</f>
        <v>0.1016</v>
      </c>
      <c r="E123" s="11">
        <f>Dimensions!$D$26</f>
        <v>2675.6075520000004</v>
      </c>
      <c r="F123" s="3">
        <f t="shared" si="23"/>
        <v>271.84172728320004</v>
      </c>
      <c r="G123" s="11">
        <f>Dimensions!$D$33</f>
        <v>1601.8462667666804</v>
      </c>
      <c r="H123" s="4">
        <f t="shared" si="15"/>
        <v>435448.656</v>
      </c>
      <c r="I123" s="4">
        <f t="shared" si="20"/>
        <v>59536717.49160014</v>
      </c>
      <c r="K123" s="128">
        <f>5*Dimensions!$C$102</f>
        <v>0.127</v>
      </c>
      <c r="L123" s="3">
        <f>Dimensions!$D$27</f>
        <v>654.68772288</v>
      </c>
      <c r="M123" s="3">
        <f t="shared" si="16"/>
        <v>83.14534080576</v>
      </c>
      <c r="N123" s="3">
        <f>Dimensions!$D$34</f>
        <v>2402.7694001500204</v>
      </c>
      <c r="O123" s="4">
        <f t="shared" si="17"/>
        <v>199779.08065312495</v>
      </c>
      <c r="P123" s="4">
        <f t="shared" si="21"/>
        <v>24732650.18485685</v>
      </c>
      <c r="R123" s="4">
        <f t="shared" si="24"/>
        <v>635227.7366531249</v>
      </c>
      <c r="S123" s="4">
        <f t="shared" si="22"/>
        <v>84269367.67645684</v>
      </c>
    </row>
  </sheetData>
  <mergeCells count="4">
    <mergeCell ref="D3:I3"/>
    <mergeCell ref="K3:P3"/>
    <mergeCell ref="R3:S3"/>
    <mergeCell ref="A3:B3"/>
  </mergeCells>
  <printOptions horizontalCentered="1" verticalCentered="1"/>
  <pageMargins left="0.3937007874015748" right="0.3937007874015748" top="0.7874015748031497" bottom="0.7874015748031497" header="0" footer="0"/>
  <pageSetup fitToHeight="1" fitToWidth="1" horizontalDpi="300" verticalDpi="300" orientation="portrait" paperSize="9" scale="57" r:id="rId3"/>
  <legacyDrawing r:id="rId2"/>
</worksheet>
</file>

<file path=xl/worksheets/sheet5.xml><?xml version="1.0" encoding="utf-8"?>
<worksheet xmlns="http://schemas.openxmlformats.org/spreadsheetml/2006/main" xmlns:r="http://schemas.openxmlformats.org/officeDocument/2006/relationships">
  <sheetPr codeName="Sheet8"/>
  <dimension ref="A1:M1017"/>
  <sheetViews>
    <sheetView workbookViewId="0" topLeftCell="A1">
      <selection activeCell="A1" sqref="A1"/>
    </sheetView>
  </sheetViews>
  <sheetFormatPr defaultColWidth="9.140625" defaultRowHeight="12.75"/>
  <cols>
    <col min="1" max="1" width="10.140625" style="25" bestFit="1" customWidth="1"/>
    <col min="2" max="2" width="1.7109375" style="18" customWidth="1"/>
    <col min="3" max="3" width="10.140625" style="34" bestFit="1" customWidth="1"/>
    <col min="4" max="4" width="1.7109375" style="16" customWidth="1"/>
    <col min="5" max="5" width="10.140625" style="34" bestFit="1" customWidth="1"/>
    <col min="6" max="7" width="9.00390625" style="34" bestFit="1" customWidth="1"/>
    <col min="8" max="8" width="1.7109375" style="16" customWidth="1"/>
    <col min="9" max="9" width="10.140625" style="34" bestFit="1" customWidth="1"/>
    <col min="10" max="11" width="9.00390625" style="34" bestFit="1" customWidth="1"/>
    <col min="12" max="16384" width="9.140625" style="1" customWidth="1"/>
  </cols>
  <sheetData>
    <row r="1" spans="1:11" ht="15">
      <c r="A1" s="70" t="s">
        <v>48</v>
      </c>
      <c r="B1" s="27"/>
      <c r="C1" s="27"/>
      <c r="D1" s="27"/>
      <c r="E1" s="27"/>
      <c r="F1" s="27"/>
      <c r="G1" s="27"/>
      <c r="H1" s="27"/>
      <c r="I1" s="27"/>
      <c r="J1" s="27"/>
      <c r="K1" s="27"/>
    </row>
    <row r="2" spans="1:11" ht="10.5">
      <c r="A2" s="137" t="s">
        <v>170</v>
      </c>
      <c r="C2" s="16"/>
      <c r="E2" s="16"/>
      <c r="F2" s="16"/>
      <c r="G2" s="16"/>
      <c r="I2" s="16"/>
      <c r="J2" s="16"/>
      <c r="K2" s="16"/>
    </row>
    <row r="3" spans="1:11" ht="10.5">
      <c r="A3" s="18"/>
      <c r="C3" s="16"/>
      <c r="E3" s="16"/>
      <c r="F3" s="16"/>
      <c r="G3" s="16"/>
      <c r="I3" s="16"/>
      <c r="J3" s="16"/>
      <c r="K3" s="16"/>
    </row>
    <row r="4" spans="1:11" ht="10.5">
      <c r="A4" s="151" t="s">
        <v>54</v>
      </c>
      <c r="B4" s="151"/>
      <c r="C4" s="151"/>
      <c r="D4" s="31"/>
      <c r="E4" s="149" t="s">
        <v>57</v>
      </c>
      <c r="F4" s="149"/>
      <c r="G4" s="149"/>
      <c r="H4" s="32"/>
      <c r="I4" s="149" t="s">
        <v>58</v>
      </c>
      <c r="J4" s="149"/>
      <c r="K4" s="149"/>
    </row>
    <row r="5" spans="1:11" ht="10.5">
      <c r="A5" s="29"/>
      <c r="B5" s="29"/>
      <c r="C5" s="31"/>
      <c r="D5" s="31"/>
      <c r="E5" s="31"/>
      <c r="F5" s="31"/>
      <c r="G5" s="31"/>
      <c r="H5" s="31"/>
      <c r="I5" s="31"/>
      <c r="J5" s="31"/>
      <c r="K5" s="31"/>
    </row>
    <row r="6" spans="1:11" ht="10.5">
      <c r="A6" s="30" t="s">
        <v>65</v>
      </c>
      <c r="B6" s="31"/>
      <c r="C6" s="28" t="s">
        <v>63</v>
      </c>
      <c r="D6" s="29"/>
      <c r="E6" s="28" t="s">
        <v>54</v>
      </c>
      <c r="F6" s="28" t="s">
        <v>63</v>
      </c>
      <c r="G6" s="28" t="s">
        <v>65</v>
      </c>
      <c r="H6" s="29"/>
      <c r="I6" s="28" t="s">
        <v>54</v>
      </c>
      <c r="J6" s="28" t="s">
        <v>63</v>
      </c>
      <c r="K6" s="28" t="s">
        <v>65</v>
      </c>
    </row>
    <row r="7" spans="1:11" ht="10.5">
      <c r="A7" s="30" t="s">
        <v>53</v>
      </c>
      <c r="B7" s="31"/>
      <c r="C7" s="28" t="s">
        <v>64</v>
      </c>
      <c r="D7" s="29"/>
      <c r="E7" s="28" t="s">
        <v>3</v>
      </c>
      <c r="F7" s="28" t="s">
        <v>64</v>
      </c>
      <c r="G7" s="28" t="s">
        <v>56</v>
      </c>
      <c r="H7" s="29"/>
      <c r="I7" s="28" t="s">
        <v>3</v>
      </c>
      <c r="J7" s="28" t="s">
        <v>64</v>
      </c>
      <c r="K7" s="28" t="s">
        <v>56</v>
      </c>
    </row>
    <row r="8" spans="1:11" ht="10.5">
      <c r="A8" s="30" t="s">
        <v>55</v>
      </c>
      <c r="B8" s="31"/>
      <c r="C8" s="30" t="s">
        <v>45</v>
      </c>
      <c r="D8" s="31"/>
      <c r="E8" s="30" t="s">
        <v>6</v>
      </c>
      <c r="F8" s="28" t="s">
        <v>62</v>
      </c>
      <c r="G8" s="28" t="s">
        <v>66</v>
      </c>
      <c r="H8" s="29"/>
      <c r="I8" s="30" t="s">
        <v>6</v>
      </c>
      <c r="J8" s="28" t="s">
        <v>62</v>
      </c>
      <c r="K8" s="28" t="s">
        <v>66</v>
      </c>
    </row>
    <row r="9" spans="1:11" ht="10.5">
      <c r="A9" s="16"/>
      <c r="B9" s="16"/>
      <c r="C9" s="16"/>
      <c r="E9" s="16"/>
      <c r="F9" s="18"/>
      <c r="G9" s="18"/>
      <c r="H9" s="18"/>
      <c r="I9" s="16"/>
      <c r="J9" s="18"/>
      <c r="K9" s="18"/>
    </row>
    <row r="10" spans="1:12" ht="10.5">
      <c r="A10" s="34">
        <v>1</v>
      </c>
      <c r="B10" s="16"/>
      <c r="C10" s="25">
        <f>6*A10*A10*0.000000000001</f>
        <v>6E-12</v>
      </c>
      <c r="D10" s="18"/>
      <c r="E10" s="25">
        <f>Dimensions!$D$33*A10*A10*A10*0.000000000000000001</f>
        <v>1.6018462667666805E-15</v>
      </c>
      <c r="F10" s="25">
        <f>C10/E10</f>
        <v>3745.6777997247973</v>
      </c>
      <c r="G10" s="25">
        <f>Dimensions!$D$36*F10</f>
        <v>374567.77997247974</v>
      </c>
      <c r="H10" s="18"/>
      <c r="I10" s="25">
        <f>Dimensions!$D$34*A10*A10*A10*0.000000000000000001</f>
        <v>2.4027694001500207E-15</v>
      </c>
      <c r="J10" s="25">
        <f>C10/I10</f>
        <v>2497.1185331498646</v>
      </c>
      <c r="K10" s="25">
        <f>Dimensions!$D$37*J10</f>
        <v>374567.7799724796</v>
      </c>
      <c r="L10" s="4"/>
    </row>
    <row r="11" spans="1:11" ht="10.5">
      <c r="A11" s="34">
        <f>A10+1</f>
        <v>2</v>
      </c>
      <c r="B11" s="16"/>
      <c r="C11" s="25">
        <f aca="true" t="shared" si="0" ref="C11:C74">6*A11*A11*0.000000000001</f>
        <v>2.4E-11</v>
      </c>
      <c r="D11" s="18"/>
      <c r="E11" s="25">
        <f>Dimensions!$D$33*A11*A11*A11*0.000000000000000001</f>
        <v>1.2814770134133444E-14</v>
      </c>
      <c r="F11" s="25">
        <f aca="true" t="shared" si="1" ref="F11:F74">C11/E11</f>
        <v>1872.8388998623986</v>
      </c>
      <c r="G11" s="25">
        <f>Dimensions!$D$36*F11</f>
        <v>187283.88998623987</v>
      </c>
      <c r="H11" s="18"/>
      <c r="I11" s="25">
        <f>Dimensions!$D$34*A11*A11*A11*0.000000000000000001</f>
        <v>1.9222155201200166E-14</v>
      </c>
      <c r="J11" s="25">
        <f aca="true" t="shared" si="2" ref="J11:J74">C11/I11</f>
        <v>1248.5592665749323</v>
      </c>
      <c r="K11" s="25">
        <f>Dimensions!$D$37*J11</f>
        <v>187283.8899862398</v>
      </c>
    </row>
    <row r="12" spans="1:11" ht="10.5">
      <c r="A12" s="34">
        <f aca="true" t="shared" si="3" ref="A12:A75">A11+1</f>
        <v>3</v>
      </c>
      <c r="B12" s="16"/>
      <c r="C12" s="25">
        <f t="shared" si="0"/>
        <v>5.4E-11</v>
      </c>
      <c r="D12" s="18"/>
      <c r="E12" s="25">
        <f>Dimensions!$D$33*A12*A12*A12*0.000000000000000001</f>
        <v>4.324984920270037E-14</v>
      </c>
      <c r="F12" s="25">
        <f t="shared" si="1"/>
        <v>1248.5592665749323</v>
      </c>
      <c r="G12" s="25">
        <f>Dimensions!$D$36*F12</f>
        <v>124855.92665749323</v>
      </c>
      <c r="H12" s="18"/>
      <c r="I12" s="25">
        <f>Dimensions!$D$34*A12*A12*A12*0.000000000000000001</f>
        <v>6.487477380405055E-14</v>
      </c>
      <c r="J12" s="25">
        <f t="shared" si="2"/>
        <v>832.3728443832883</v>
      </c>
      <c r="K12" s="25">
        <f>Dimensions!$D$37*J12</f>
        <v>124855.92665749323</v>
      </c>
    </row>
    <row r="13" spans="1:11" ht="10.5">
      <c r="A13" s="34">
        <f t="shared" si="3"/>
        <v>4</v>
      </c>
      <c r="B13" s="16"/>
      <c r="C13" s="25">
        <f t="shared" si="0"/>
        <v>9.6E-11</v>
      </c>
      <c r="D13" s="18"/>
      <c r="E13" s="25">
        <f>Dimensions!$D$33*A13*A13*A13*0.000000000000000001</f>
        <v>1.0251816107306755E-13</v>
      </c>
      <c r="F13" s="25">
        <f t="shared" si="1"/>
        <v>936.4194499311993</v>
      </c>
      <c r="G13" s="25">
        <f>Dimensions!$D$36*F13</f>
        <v>93641.94499311993</v>
      </c>
      <c r="H13" s="18"/>
      <c r="I13" s="25">
        <f>Dimensions!$D$34*A13*A13*A13*0.000000000000000001</f>
        <v>1.5377724160960133E-13</v>
      </c>
      <c r="J13" s="25">
        <f t="shared" si="2"/>
        <v>624.2796332874661</v>
      </c>
      <c r="K13" s="25">
        <f>Dimensions!$D$37*J13</f>
        <v>93641.9449931199</v>
      </c>
    </row>
    <row r="14" spans="1:11" ht="10.5">
      <c r="A14" s="34">
        <f t="shared" si="3"/>
        <v>5</v>
      </c>
      <c r="B14" s="16"/>
      <c r="C14" s="25">
        <f t="shared" si="0"/>
        <v>1.5E-10</v>
      </c>
      <c r="D14" s="18"/>
      <c r="E14" s="25">
        <f>Dimensions!$D$33*A14*A14*A14*0.000000000000000001</f>
        <v>2.002307833458351E-13</v>
      </c>
      <c r="F14" s="25">
        <f t="shared" si="1"/>
        <v>749.1355599449593</v>
      </c>
      <c r="G14" s="25">
        <f>Dimensions!$D$36*F14</f>
        <v>74913.55599449592</v>
      </c>
      <c r="H14" s="18"/>
      <c r="I14" s="25">
        <f>Dimensions!$D$34*A14*A14*A14*0.000000000000000001</f>
        <v>3.003461750187526E-13</v>
      </c>
      <c r="J14" s="25">
        <f t="shared" si="2"/>
        <v>499.4237066299729</v>
      </c>
      <c r="K14" s="25">
        <f>Dimensions!$D$37*J14</f>
        <v>74913.55599449592</v>
      </c>
    </row>
    <row r="15" spans="1:11" ht="10.5">
      <c r="A15" s="34">
        <f t="shared" si="3"/>
        <v>6</v>
      </c>
      <c r="B15" s="16"/>
      <c r="C15" s="25">
        <f t="shared" si="0"/>
        <v>2.16E-10</v>
      </c>
      <c r="D15" s="18"/>
      <c r="E15" s="25">
        <f>Dimensions!$D$33*A15*A15*A15*0.000000000000000001</f>
        <v>3.45998793621603E-13</v>
      </c>
      <c r="F15" s="25">
        <f t="shared" si="1"/>
        <v>624.2796332874661</v>
      </c>
      <c r="G15" s="25">
        <f>Dimensions!$D$36*F15</f>
        <v>62427.96332874661</v>
      </c>
      <c r="H15" s="18"/>
      <c r="I15" s="25">
        <f>Dimensions!$D$34*A15*A15*A15*0.000000000000000001</f>
        <v>5.189981904324044E-13</v>
      </c>
      <c r="J15" s="25">
        <f t="shared" si="2"/>
        <v>416.18642219164417</v>
      </c>
      <c r="K15" s="25">
        <f>Dimensions!$D$37*J15</f>
        <v>62427.96332874661</v>
      </c>
    </row>
    <row r="16" spans="1:11" ht="10.5">
      <c r="A16" s="34">
        <f t="shared" si="3"/>
        <v>7</v>
      </c>
      <c r="B16" s="16"/>
      <c r="C16" s="25">
        <f t="shared" si="0"/>
        <v>2.94E-10</v>
      </c>
      <c r="D16" s="18"/>
      <c r="E16" s="25">
        <f>Dimensions!$D$33*A16*A16*A16*0.000000000000000001</f>
        <v>5.494332695009714E-13</v>
      </c>
      <c r="F16" s="25">
        <f t="shared" si="1"/>
        <v>535.0968285321138</v>
      </c>
      <c r="G16" s="25">
        <f>Dimensions!$D$36*F16</f>
        <v>53509.68285321138</v>
      </c>
      <c r="H16" s="18"/>
      <c r="I16" s="25">
        <f>Dimensions!$D$34*A16*A16*A16*0.000000000000000001</f>
        <v>8.24149904251457E-13</v>
      </c>
      <c r="J16" s="25">
        <f t="shared" si="2"/>
        <v>356.7312190214093</v>
      </c>
      <c r="K16" s="25">
        <f>Dimensions!$D$37*J16</f>
        <v>53509.68285321138</v>
      </c>
    </row>
    <row r="17" spans="1:11" ht="10.5">
      <c r="A17" s="34">
        <f t="shared" si="3"/>
        <v>8</v>
      </c>
      <c r="B17" s="16"/>
      <c r="C17" s="25">
        <f t="shared" si="0"/>
        <v>3.84E-10</v>
      </c>
      <c r="D17" s="18"/>
      <c r="E17" s="25">
        <f>Dimensions!$D$33*A17*A17*A17*0.000000000000000001</f>
        <v>8.201452885845404E-13</v>
      </c>
      <c r="F17" s="25">
        <f t="shared" si="1"/>
        <v>468.20972496559966</v>
      </c>
      <c r="G17" s="25">
        <f>Dimensions!$D$36*F17</f>
        <v>46820.97249655997</v>
      </c>
      <c r="H17" s="18"/>
      <c r="I17" s="25">
        <f>Dimensions!$D$34*A17*A17*A17*0.000000000000000001</f>
        <v>1.2302179328768106E-12</v>
      </c>
      <c r="J17" s="25">
        <f t="shared" si="2"/>
        <v>312.13981664373307</v>
      </c>
      <c r="K17" s="25">
        <f>Dimensions!$D$37*J17</f>
        <v>46820.97249655995</v>
      </c>
    </row>
    <row r="18" spans="1:11" ht="10.5">
      <c r="A18" s="34">
        <f t="shared" si="3"/>
        <v>9</v>
      </c>
      <c r="B18" s="16"/>
      <c r="C18" s="25">
        <f t="shared" si="0"/>
        <v>4.86E-10</v>
      </c>
      <c r="D18" s="18"/>
      <c r="E18" s="25">
        <f>Dimensions!$D$33*A18*A18*A18*0.000000000000000001</f>
        <v>1.1677459284729101E-12</v>
      </c>
      <c r="F18" s="25">
        <f t="shared" si="1"/>
        <v>416.18642219164406</v>
      </c>
      <c r="G18" s="25">
        <f>Dimensions!$D$36*F18</f>
        <v>41618.64221916441</v>
      </c>
      <c r="H18" s="18"/>
      <c r="I18" s="25">
        <f>Dimensions!$D$34*A18*A18*A18*0.000000000000000001</f>
        <v>1.751618892709365E-12</v>
      </c>
      <c r="J18" s="25">
        <f t="shared" si="2"/>
        <v>277.45761479442945</v>
      </c>
      <c r="K18" s="25">
        <f>Dimensions!$D$37*J18</f>
        <v>41618.64221916441</v>
      </c>
    </row>
    <row r="19" spans="1:11" ht="10.5">
      <c r="A19" s="34">
        <f t="shared" si="3"/>
        <v>10</v>
      </c>
      <c r="B19" s="16"/>
      <c r="C19" s="25">
        <f t="shared" si="0"/>
        <v>6E-10</v>
      </c>
      <c r="D19" s="18"/>
      <c r="E19" s="25">
        <f>Dimensions!$D$33*A19*A19*A19*0.000000000000000001</f>
        <v>1.6018462667666808E-12</v>
      </c>
      <c r="F19" s="25">
        <f t="shared" si="1"/>
        <v>374.5677799724796</v>
      </c>
      <c r="G19" s="25">
        <f>Dimensions!$D$36*F19</f>
        <v>37456.77799724796</v>
      </c>
      <c r="H19" s="18"/>
      <c r="I19" s="25">
        <f>Dimensions!$D$34*A19*A19*A19*0.000000000000000001</f>
        <v>2.402769400150021E-12</v>
      </c>
      <c r="J19" s="25">
        <f t="shared" si="2"/>
        <v>249.71185331498646</v>
      </c>
      <c r="K19" s="25">
        <f>Dimensions!$D$37*J19</f>
        <v>37456.77799724796</v>
      </c>
    </row>
    <row r="20" spans="1:11" ht="10.5">
      <c r="A20" s="34">
        <f t="shared" si="3"/>
        <v>11</v>
      </c>
      <c r="B20" s="16"/>
      <c r="C20" s="25">
        <f t="shared" si="0"/>
        <v>7.26E-10</v>
      </c>
      <c r="D20" s="18"/>
      <c r="E20" s="25">
        <f>Dimensions!$D$33*A20*A20*A20*0.000000000000000001</f>
        <v>2.1320573810664515E-12</v>
      </c>
      <c r="F20" s="25">
        <f t="shared" si="1"/>
        <v>340.5161636113452</v>
      </c>
      <c r="G20" s="25">
        <f>Dimensions!$D$36*F20</f>
        <v>34051.61636113452</v>
      </c>
      <c r="H20" s="18"/>
      <c r="I20" s="25">
        <f>Dimensions!$D$34*A20*A20*A20*0.000000000000000001</f>
        <v>3.1980860715996773E-12</v>
      </c>
      <c r="J20" s="25">
        <f t="shared" si="2"/>
        <v>227.0107757408968</v>
      </c>
      <c r="K20" s="25">
        <f>Dimensions!$D$37*J20</f>
        <v>34051.61636113451</v>
      </c>
    </row>
    <row r="21" spans="1:11" ht="10.5">
      <c r="A21" s="34">
        <f t="shared" si="3"/>
        <v>12</v>
      </c>
      <c r="B21" s="16"/>
      <c r="C21" s="25">
        <f t="shared" si="0"/>
        <v>8.64E-10</v>
      </c>
      <c r="D21" s="18"/>
      <c r="E21" s="25">
        <f>Dimensions!$D$33*A21*A21*A21*0.000000000000000001</f>
        <v>2.767990348972824E-12</v>
      </c>
      <c r="F21" s="25">
        <f t="shared" si="1"/>
        <v>312.13981664373307</v>
      </c>
      <c r="G21" s="25">
        <f>Dimensions!$D$36*F21</f>
        <v>31213.981664373307</v>
      </c>
      <c r="H21" s="18"/>
      <c r="I21" s="25">
        <f>Dimensions!$D$34*A21*A21*A21*0.000000000000000001</f>
        <v>4.151985523459235E-12</v>
      </c>
      <c r="J21" s="25">
        <f t="shared" si="2"/>
        <v>208.09321109582208</v>
      </c>
      <c r="K21" s="25">
        <f>Dimensions!$D$37*J21</f>
        <v>31213.981664373307</v>
      </c>
    </row>
    <row r="22" spans="1:11" ht="10.5">
      <c r="A22" s="34">
        <f t="shared" si="3"/>
        <v>13</v>
      </c>
      <c r="B22" s="16"/>
      <c r="C22" s="25">
        <f t="shared" si="0"/>
        <v>1.014E-09</v>
      </c>
      <c r="D22" s="18"/>
      <c r="E22" s="25">
        <f>Dimensions!$D$33*A22*A22*A22*0.000000000000000001</f>
        <v>3.519256248086397E-12</v>
      </c>
      <c r="F22" s="25">
        <f t="shared" si="1"/>
        <v>288.1290615172921</v>
      </c>
      <c r="G22" s="25">
        <f>Dimensions!$D$36*F22</f>
        <v>28812.90615172921</v>
      </c>
      <c r="H22" s="18"/>
      <c r="I22" s="25">
        <f>Dimensions!$D$34*A22*A22*A22*0.000000000000000001</f>
        <v>5.278884372129595E-12</v>
      </c>
      <c r="J22" s="25">
        <f t="shared" si="2"/>
        <v>192.08604101152807</v>
      </c>
      <c r="K22" s="25">
        <f>Dimensions!$D$37*J22</f>
        <v>28812.906151729203</v>
      </c>
    </row>
    <row r="23" spans="1:11" ht="10.5">
      <c r="A23" s="34">
        <f t="shared" si="3"/>
        <v>14</v>
      </c>
      <c r="B23" s="16"/>
      <c r="C23" s="25">
        <f t="shared" si="0"/>
        <v>1.176E-09</v>
      </c>
      <c r="D23" s="18"/>
      <c r="E23" s="25">
        <f>Dimensions!$D$33*A23*A23*A23*0.000000000000000001</f>
        <v>4.3954661560077714E-12</v>
      </c>
      <c r="F23" s="25">
        <f t="shared" si="1"/>
        <v>267.5484142660569</v>
      </c>
      <c r="G23" s="25">
        <f>Dimensions!$D$36*F23</f>
        <v>26754.84142660569</v>
      </c>
      <c r="H23" s="18"/>
      <c r="I23" s="25">
        <f>Dimensions!$D$34*A23*A23*A23*0.000000000000000001</f>
        <v>6.593199234011656E-12</v>
      </c>
      <c r="J23" s="25">
        <f t="shared" si="2"/>
        <v>178.36560951070464</v>
      </c>
      <c r="K23" s="25">
        <f>Dimensions!$D$37*J23</f>
        <v>26754.84142660569</v>
      </c>
    </row>
    <row r="24" spans="1:11" ht="10.5">
      <c r="A24" s="34">
        <f t="shared" si="3"/>
        <v>15</v>
      </c>
      <c r="B24" s="16"/>
      <c r="C24" s="25">
        <f t="shared" si="0"/>
        <v>1.3499999999999999E-09</v>
      </c>
      <c r="D24" s="18"/>
      <c r="E24" s="25">
        <f>Dimensions!$D$33*A24*A24*A24*0.000000000000000001</f>
        <v>5.406231150337547E-12</v>
      </c>
      <c r="F24" s="25">
        <f t="shared" si="1"/>
        <v>249.7118533149864</v>
      </c>
      <c r="G24" s="25">
        <f>Dimensions!$D$36*F24</f>
        <v>24971.18533149864</v>
      </c>
      <c r="H24" s="18"/>
      <c r="I24" s="25">
        <f>Dimensions!$D$34*A24*A24*A24*0.000000000000000001</f>
        <v>8.109346725506319E-12</v>
      </c>
      <c r="J24" s="25">
        <f t="shared" si="2"/>
        <v>166.47456887665766</v>
      </c>
      <c r="K24" s="25">
        <f>Dimensions!$D$37*J24</f>
        <v>24971.185331498644</v>
      </c>
    </row>
    <row r="25" spans="1:11" ht="10.5">
      <c r="A25" s="34">
        <f t="shared" si="3"/>
        <v>16</v>
      </c>
      <c r="B25" s="16"/>
      <c r="C25" s="25">
        <f t="shared" si="0"/>
        <v>1.536E-09</v>
      </c>
      <c r="D25" s="18"/>
      <c r="E25" s="25">
        <f>Dimensions!$D$33*A25*A25*A25*0.000000000000000001</f>
        <v>6.561162308676323E-12</v>
      </c>
      <c r="F25" s="25">
        <f t="shared" si="1"/>
        <v>234.10486248279983</v>
      </c>
      <c r="G25" s="25">
        <f>Dimensions!$D$36*F25</f>
        <v>23410.486248279984</v>
      </c>
      <c r="H25" s="18"/>
      <c r="I25" s="25">
        <f>Dimensions!$D$34*A25*A25*A25*0.000000000000000001</f>
        <v>9.841743463014485E-12</v>
      </c>
      <c r="J25" s="25">
        <f t="shared" si="2"/>
        <v>156.06990832186654</v>
      </c>
      <c r="K25" s="25">
        <f>Dimensions!$D$37*J25</f>
        <v>23410.486248279976</v>
      </c>
    </row>
    <row r="26" spans="1:11" ht="10.5">
      <c r="A26" s="34">
        <f t="shared" si="3"/>
        <v>17</v>
      </c>
      <c r="B26" s="16"/>
      <c r="C26" s="25">
        <f t="shared" si="0"/>
        <v>1.734E-09</v>
      </c>
      <c r="D26" s="18"/>
      <c r="E26" s="25">
        <f>Dimensions!$D$33*A26*A26*A26*0.000000000000000001</f>
        <v>7.869870708624701E-12</v>
      </c>
      <c r="F26" s="25">
        <f t="shared" si="1"/>
        <v>220.33398821910572</v>
      </c>
      <c r="G26" s="25">
        <f>Dimensions!$D$36*F26</f>
        <v>22033.39882191057</v>
      </c>
      <c r="H26" s="18"/>
      <c r="I26" s="25">
        <f>Dimensions!$D$34*A26*A26*A26*0.000000000000000001</f>
        <v>1.1804806062937052E-11</v>
      </c>
      <c r="J26" s="25">
        <f t="shared" si="2"/>
        <v>146.8893254794038</v>
      </c>
      <c r="K26" s="25">
        <f>Dimensions!$D$37*J26</f>
        <v>22033.398821910567</v>
      </c>
    </row>
    <row r="27" spans="1:11" ht="10.5">
      <c r="A27" s="34">
        <f t="shared" si="3"/>
        <v>18</v>
      </c>
      <c r="B27" s="16"/>
      <c r="C27" s="25">
        <f t="shared" si="0"/>
        <v>1.944E-09</v>
      </c>
      <c r="D27" s="18"/>
      <c r="E27" s="25">
        <f>Dimensions!$D$33*A27*A27*A27*0.000000000000000001</f>
        <v>9.341967427783281E-12</v>
      </c>
      <c r="F27" s="25">
        <f t="shared" si="1"/>
        <v>208.09321109582203</v>
      </c>
      <c r="G27" s="25">
        <f>Dimensions!$D$36*F27</f>
        <v>20809.321109582204</v>
      </c>
      <c r="H27" s="18"/>
      <c r="I27" s="25">
        <f>Dimensions!$D$34*A27*A27*A27*0.000000000000000001</f>
        <v>1.401295114167492E-11</v>
      </c>
      <c r="J27" s="25">
        <f t="shared" si="2"/>
        <v>138.72880739721472</v>
      </c>
      <c r="K27" s="25">
        <f>Dimensions!$D$37*J27</f>
        <v>20809.321109582204</v>
      </c>
    </row>
    <row r="28" spans="1:11" ht="10.5">
      <c r="A28" s="34">
        <f t="shared" si="3"/>
        <v>19</v>
      </c>
      <c r="B28" s="16"/>
      <c r="C28" s="25">
        <f t="shared" si="0"/>
        <v>2.1659999999999998E-09</v>
      </c>
      <c r="D28" s="18"/>
      <c r="E28" s="25">
        <f>Dimensions!$D$33*A28*A28*A28*0.000000000000000001</f>
        <v>1.0987063543752662E-11</v>
      </c>
      <c r="F28" s="25">
        <f t="shared" si="1"/>
        <v>197.14093682762086</v>
      </c>
      <c r="G28" s="25">
        <f>Dimensions!$D$36*F28</f>
        <v>19714.093682762086</v>
      </c>
      <c r="H28" s="18"/>
      <c r="I28" s="25">
        <f>Dimensions!$D$34*A28*A28*A28*0.000000000000000001</f>
        <v>1.648059531562899E-11</v>
      </c>
      <c r="J28" s="25">
        <f t="shared" si="2"/>
        <v>131.42729121841393</v>
      </c>
      <c r="K28" s="25">
        <f>Dimensions!$D$37*J28</f>
        <v>19714.093682762086</v>
      </c>
    </row>
    <row r="29" spans="1:13" ht="10.5">
      <c r="A29" s="13">
        <f t="shared" si="3"/>
        <v>20</v>
      </c>
      <c r="B29" s="13"/>
      <c r="C29" s="15">
        <f t="shared" si="0"/>
        <v>2.4E-09</v>
      </c>
      <c r="D29" s="15"/>
      <c r="E29" s="15">
        <f>Dimensions!$D$33*A29*A29*A29*0.000000000000000001</f>
        <v>1.2814770134133446E-11</v>
      </c>
      <c r="F29" s="15">
        <f t="shared" si="1"/>
        <v>187.2838899862398</v>
      </c>
      <c r="G29" s="15">
        <f>Dimensions!$D$36*F29</f>
        <v>18728.38899862398</v>
      </c>
      <c r="H29" s="15"/>
      <c r="I29" s="15">
        <f>Dimensions!$D$34*A29*A29*A29*0.000000000000000001</f>
        <v>1.9222155201200167E-11</v>
      </c>
      <c r="J29" s="15">
        <f t="shared" si="2"/>
        <v>124.85592665749323</v>
      </c>
      <c r="K29" s="15">
        <f>Dimensions!$D$37*J29</f>
        <v>18728.38899862398</v>
      </c>
      <c r="L29" s="4"/>
      <c r="M29" s="4"/>
    </row>
    <row r="30" spans="1:11" ht="10.5">
      <c r="A30" s="34">
        <f t="shared" si="3"/>
        <v>21</v>
      </c>
      <c r="B30" s="16"/>
      <c r="C30" s="25">
        <f t="shared" si="0"/>
        <v>2.6459999999999998E-09</v>
      </c>
      <c r="D30" s="18"/>
      <c r="E30" s="25">
        <f>Dimensions!$D$33*A30*A30*A30*0.000000000000000001</f>
        <v>1.4834698276526223E-11</v>
      </c>
      <c r="F30" s="25">
        <f t="shared" si="1"/>
        <v>178.36560951070467</v>
      </c>
      <c r="G30" s="25">
        <f>Dimensions!$D$36*F30</f>
        <v>17836.560951070467</v>
      </c>
      <c r="H30" s="18"/>
      <c r="I30" s="25">
        <f>Dimensions!$D$34*A30*A30*A30*0.000000000000000001</f>
        <v>2.225204741478934E-11</v>
      </c>
      <c r="J30" s="25">
        <f t="shared" si="2"/>
        <v>118.91040634046975</v>
      </c>
      <c r="K30" s="25">
        <f>Dimensions!$D$37*J30</f>
        <v>17836.56095107046</v>
      </c>
    </row>
    <row r="31" spans="1:11" ht="10.5">
      <c r="A31" s="34">
        <f t="shared" si="3"/>
        <v>22</v>
      </c>
      <c r="B31" s="16"/>
      <c r="C31" s="25">
        <f t="shared" si="0"/>
        <v>2.904E-09</v>
      </c>
      <c r="D31" s="18"/>
      <c r="E31" s="25">
        <f>Dimensions!$D$33*A31*A31*A31*0.000000000000000001</f>
        <v>1.7056459048531612E-11</v>
      </c>
      <c r="F31" s="25">
        <f t="shared" si="1"/>
        <v>170.2580818056726</v>
      </c>
      <c r="G31" s="25">
        <f>Dimensions!$D$36*F31</f>
        <v>17025.80818056726</v>
      </c>
      <c r="H31" s="18"/>
      <c r="I31" s="25">
        <f>Dimensions!$D$34*A31*A31*A31*0.000000000000000001</f>
        <v>2.558468857279742E-11</v>
      </c>
      <c r="J31" s="25">
        <f t="shared" si="2"/>
        <v>113.5053878704484</v>
      </c>
      <c r="K31" s="25">
        <f>Dimensions!$D$37*J31</f>
        <v>17025.808180567255</v>
      </c>
    </row>
    <row r="32" spans="1:11" ht="10.5">
      <c r="A32" s="34">
        <f t="shared" si="3"/>
        <v>23</v>
      </c>
      <c r="B32" s="16"/>
      <c r="C32" s="25">
        <f t="shared" si="0"/>
        <v>3.174E-09</v>
      </c>
      <c r="D32" s="18"/>
      <c r="E32" s="25">
        <f>Dimensions!$D$33*A32*A32*A32*0.000000000000000001</f>
        <v>1.9489663527750202E-11</v>
      </c>
      <c r="F32" s="25">
        <f t="shared" si="1"/>
        <v>162.85555650977378</v>
      </c>
      <c r="G32" s="25">
        <f>Dimensions!$D$36*F32</f>
        <v>16285.555650977378</v>
      </c>
      <c r="H32" s="18"/>
      <c r="I32" s="25">
        <f>Dimensions!$D$34*A32*A32*A32*0.000000000000000001</f>
        <v>2.92344952916253E-11</v>
      </c>
      <c r="J32" s="25">
        <f t="shared" si="2"/>
        <v>108.57037100651587</v>
      </c>
      <c r="K32" s="25">
        <f>Dimensions!$D$37*J32</f>
        <v>16285.555650977378</v>
      </c>
    </row>
    <row r="33" spans="1:11" ht="10.5">
      <c r="A33" s="34">
        <f t="shared" si="3"/>
        <v>24</v>
      </c>
      <c r="B33" s="16"/>
      <c r="C33" s="25">
        <f t="shared" si="0"/>
        <v>3.456E-09</v>
      </c>
      <c r="D33" s="18"/>
      <c r="E33" s="25">
        <f>Dimensions!$D$33*A33*A33*A33*0.000000000000000001</f>
        <v>2.214392279178259E-11</v>
      </c>
      <c r="F33" s="25">
        <f t="shared" si="1"/>
        <v>156.06990832186654</v>
      </c>
      <c r="G33" s="25">
        <f>Dimensions!$D$36*F33</f>
        <v>15606.990832186653</v>
      </c>
      <c r="H33" s="18"/>
      <c r="I33" s="25">
        <f>Dimensions!$D$34*A33*A33*A33*0.000000000000000001</f>
        <v>3.321588418767388E-11</v>
      </c>
      <c r="J33" s="25">
        <f t="shared" si="2"/>
        <v>104.04660554791104</v>
      </c>
      <c r="K33" s="25">
        <f>Dimensions!$D$37*J33</f>
        <v>15606.990832186653</v>
      </c>
    </row>
    <row r="34" spans="1:11" ht="10.5">
      <c r="A34" s="34">
        <f t="shared" si="3"/>
        <v>25</v>
      </c>
      <c r="B34" s="16"/>
      <c r="C34" s="25">
        <f t="shared" si="0"/>
        <v>3.75E-09</v>
      </c>
      <c r="D34" s="18"/>
      <c r="E34" s="25">
        <f>Dimensions!$D$33*A34*A34*A34*0.000000000000000001</f>
        <v>2.5028847918229384E-11</v>
      </c>
      <c r="F34" s="25">
        <f t="shared" si="1"/>
        <v>149.82711198899185</v>
      </c>
      <c r="G34" s="25">
        <f>Dimensions!$D$36*F34</f>
        <v>14982.711198899184</v>
      </c>
      <c r="H34" s="18"/>
      <c r="I34" s="25">
        <f>Dimensions!$D$34*A34*A34*A34*0.000000000000000001</f>
        <v>3.754327187734408E-11</v>
      </c>
      <c r="J34" s="25">
        <f t="shared" si="2"/>
        <v>99.88474132599457</v>
      </c>
      <c r="K34" s="25">
        <f>Dimensions!$D$37*J34</f>
        <v>14982.711198899182</v>
      </c>
    </row>
    <row r="35" spans="1:11" ht="10.5">
      <c r="A35" s="34">
        <f t="shared" si="3"/>
        <v>26</v>
      </c>
      <c r="B35" s="16"/>
      <c r="C35" s="25">
        <f t="shared" si="0"/>
        <v>4.056E-09</v>
      </c>
      <c r="D35" s="18"/>
      <c r="E35" s="25">
        <f>Dimensions!$D$33*A35*A35*A35*0.000000000000000001</f>
        <v>2.8154049984691177E-11</v>
      </c>
      <c r="F35" s="25">
        <f t="shared" si="1"/>
        <v>144.06453075864604</v>
      </c>
      <c r="G35" s="25">
        <f>Dimensions!$D$36*F35</f>
        <v>14406.453075864605</v>
      </c>
      <c r="H35" s="18"/>
      <c r="I35" s="25">
        <f>Dimensions!$D$34*A35*A35*A35*0.000000000000000001</f>
        <v>4.223107497703676E-11</v>
      </c>
      <c r="J35" s="25">
        <f t="shared" si="2"/>
        <v>96.04302050576403</v>
      </c>
      <c r="K35" s="25">
        <f>Dimensions!$D$37*J35</f>
        <v>14406.453075864601</v>
      </c>
    </row>
    <row r="36" spans="1:11" ht="10.5">
      <c r="A36" s="34">
        <f t="shared" si="3"/>
        <v>27</v>
      </c>
      <c r="B36" s="16"/>
      <c r="C36" s="25">
        <f t="shared" si="0"/>
        <v>4.374E-09</v>
      </c>
      <c r="D36" s="18"/>
      <c r="E36" s="25">
        <f>Dimensions!$D$33*A36*A36*A36*0.000000000000000001</f>
        <v>3.152914006876857E-11</v>
      </c>
      <c r="F36" s="25">
        <f t="shared" si="1"/>
        <v>138.7288073972147</v>
      </c>
      <c r="G36" s="25">
        <f>Dimensions!$D$36*F36</f>
        <v>13872.88073972147</v>
      </c>
      <c r="H36" s="18"/>
      <c r="I36" s="25">
        <f>Dimensions!$D$34*A36*A36*A36*0.000000000000000001</f>
        <v>4.729371010315285E-11</v>
      </c>
      <c r="J36" s="25">
        <f t="shared" si="2"/>
        <v>92.48587159814315</v>
      </c>
      <c r="K36" s="25">
        <f>Dimensions!$D$37*J36</f>
        <v>13872.88073972147</v>
      </c>
    </row>
    <row r="37" spans="1:11" ht="10.5">
      <c r="A37" s="34">
        <f t="shared" si="3"/>
        <v>28</v>
      </c>
      <c r="B37" s="16"/>
      <c r="C37" s="25">
        <f t="shared" si="0"/>
        <v>4.704E-09</v>
      </c>
      <c r="D37" s="18"/>
      <c r="E37" s="25">
        <f>Dimensions!$D$33*A37*A37*A37*0.000000000000000001</f>
        <v>3.516372924806217E-11</v>
      </c>
      <c r="F37" s="25">
        <f t="shared" si="1"/>
        <v>133.77420713302845</v>
      </c>
      <c r="G37" s="25">
        <f>Dimensions!$D$36*F37</f>
        <v>13377.420713302845</v>
      </c>
      <c r="H37" s="18"/>
      <c r="I37" s="25">
        <f>Dimensions!$D$34*A37*A37*A37*0.000000000000000001</f>
        <v>5.274559387209325E-11</v>
      </c>
      <c r="J37" s="25">
        <f t="shared" si="2"/>
        <v>89.18280475535232</v>
      </c>
      <c r="K37" s="25">
        <f>Dimensions!$D$37*J37</f>
        <v>13377.420713302845</v>
      </c>
    </row>
    <row r="38" spans="1:11" ht="10.5">
      <c r="A38" s="34">
        <f t="shared" si="3"/>
        <v>29</v>
      </c>
      <c r="B38" s="16"/>
      <c r="C38" s="25">
        <f t="shared" si="0"/>
        <v>5.046E-09</v>
      </c>
      <c r="D38" s="18"/>
      <c r="E38" s="25">
        <f>Dimensions!$D$33*A38*A38*A38*0.000000000000000001</f>
        <v>3.9067428600172567E-11</v>
      </c>
      <c r="F38" s="25">
        <f t="shared" si="1"/>
        <v>129.16130343878612</v>
      </c>
      <c r="G38" s="25">
        <f>Dimensions!$D$36*F38</f>
        <v>12916.130343878613</v>
      </c>
      <c r="H38" s="18"/>
      <c r="I38" s="25">
        <f>Dimensions!$D$34*A38*A38*A38*0.000000000000000001</f>
        <v>5.860114290025885E-11</v>
      </c>
      <c r="J38" s="25">
        <f t="shared" si="2"/>
        <v>86.10753562585741</v>
      </c>
      <c r="K38" s="25">
        <f>Dimensions!$D$37*J38</f>
        <v>12916.130343878609</v>
      </c>
    </row>
    <row r="39" spans="1:11" ht="10.5">
      <c r="A39" s="34">
        <f t="shared" si="3"/>
        <v>30</v>
      </c>
      <c r="B39" s="16"/>
      <c r="C39" s="25">
        <f t="shared" si="0"/>
        <v>5.3999999999999996E-09</v>
      </c>
      <c r="D39" s="18"/>
      <c r="E39" s="25">
        <f>Dimensions!$D$33*A39*A39*A39*0.000000000000000001</f>
        <v>4.324984920270038E-11</v>
      </c>
      <c r="F39" s="25">
        <f t="shared" si="1"/>
        <v>124.8559266574932</v>
      </c>
      <c r="G39" s="25">
        <f>Dimensions!$D$36*F39</f>
        <v>12485.59266574932</v>
      </c>
      <c r="H39" s="18"/>
      <c r="I39" s="25">
        <f>Dimensions!$D$34*A39*A39*A39*0.000000000000000001</f>
        <v>6.487477380405055E-11</v>
      </c>
      <c r="J39" s="25">
        <f t="shared" si="2"/>
        <v>83.23728443832883</v>
      </c>
      <c r="K39" s="25">
        <f>Dimensions!$D$37*J39</f>
        <v>12485.592665749322</v>
      </c>
    </row>
    <row r="40" spans="1:11" ht="10.5">
      <c r="A40" s="34">
        <f t="shared" si="3"/>
        <v>31</v>
      </c>
      <c r="B40" s="16"/>
      <c r="C40" s="25">
        <f t="shared" si="0"/>
        <v>5.766E-09</v>
      </c>
      <c r="D40" s="18"/>
      <c r="E40" s="25">
        <f>Dimensions!$D$33*A40*A40*A40*0.000000000000000001</f>
        <v>4.772060213324618E-11</v>
      </c>
      <c r="F40" s="25">
        <f t="shared" si="1"/>
        <v>120.82831612015474</v>
      </c>
      <c r="G40" s="25">
        <f>Dimensions!$D$36*F40</f>
        <v>12082.831612015474</v>
      </c>
      <c r="H40" s="18"/>
      <c r="I40" s="25">
        <f>Dimensions!$D$34*A40*A40*A40*0.000000000000000001</f>
        <v>7.158090319986927E-11</v>
      </c>
      <c r="J40" s="25">
        <f t="shared" si="2"/>
        <v>80.55221074676983</v>
      </c>
      <c r="K40" s="25">
        <f>Dimensions!$D$37*J40</f>
        <v>12082.831612015472</v>
      </c>
    </row>
    <row r="41" spans="1:11" ht="10.5">
      <c r="A41" s="34">
        <f t="shared" si="3"/>
        <v>32</v>
      </c>
      <c r="B41" s="16"/>
      <c r="C41" s="25">
        <f t="shared" si="0"/>
        <v>6.144E-09</v>
      </c>
      <c r="D41" s="18"/>
      <c r="E41" s="25">
        <f>Dimensions!$D$33*A41*A41*A41*0.000000000000000001</f>
        <v>5.2489298469410586E-11</v>
      </c>
      <c r="F41" s="25">
        <f t="shared" si="1"/>
        <v>117.05243124139992</v>
      </c>
      <c r="G41" s="25">
        <f>Dimensions!$D$36*F41</f>
        <v>11705.243124139992</v>
      </c>
      <c r="H41" s="18"/>
      <c r="I41" s="25">
        <f>Dimensions!$D$34*A41*A41*A41*0.000000000000000001</f>
        <v>7.873394770411588E-11</v>
      </c>
      <c r="J41" s="25">
        <f t="shared" si="2"/>
        <v>78.03495416093327</v>
      </c>
      <c r="K41" s="25">
        <f>Dimensions!$D$37*J41</f>
        <v>11705.243124139988</v>
      </c>
    </row>
    <row r="42" spans="1:11" ht="10.5">
      <c r="A42" s="34">
        <f t="shared" si="3"/>
        <v>33</v>
      </c>
      <c r="B42" s="16"/>
      <c r="C42" s="25">
        <f t="shared" si="0"/>
        <v>6.534E-09</v>
      </c>
      <c r="D42" s="18"/>
      <c r="E42" s="25">
        <f>Dimensions!$D$33*A42*A42*A42*0.000000000000000001</f>
        <v>5.7565549288794204E-11</v>
      </c>
      <c r="F42" s="25">
        <f t="shared" si="1"/>
        <v>113.50538787044837</v>
      </c>
      <c r="G42" s="25">
        <f>Dimensions!$D$36*F42</f>
        <v>11350.538787044838</v>
      </c>
      <c r="H42" s="18"/>
      <c r="I42" s="25">
        <f>Dimensions!$D$34*A42*A42*A42*0.000000000000000001</f>
        <v>8.634832393319129E-11</v>
      </c>
      <c r="J42" s="25">
        <f t="shared" si="2"/>
        <v>75.67025858029893</v>
      </c>
      <c r="K42" s="25">
        <f>Dimensions!$D$37*J42</f>
        <v>11350.538787044838</v>
      </c>
    </row>
    <row r="43" spans="1:11" ht="10.5">
      <c r="A43" s="34">
        <f t="shared" si="3"/>
        <v>34</v>
      </c>
      <c r="B43" s="16"/>
      <c r="C43" s="25">
        <f t="shared" si="0"/>
        <v>6.936E-09</v>
      </c>
      <c r="D43" s="18"/>
      <c r="E43" s="25">
        <f>Dimensions!$D$33*A43*A43*A43*0.000000000000000001</f>
        <v>6.295896566899761E-11</v>
      </c>
      <c r="F43" s="25">
        <f t="shared" si="1"/>
        <v>110.16699410955286</v>
      </c>
      <c r="G43" s="25">
        <f>Dimensions!$D$36*F43</f>
        <v>11016.699410955285</v>
      </c>
      <c r="H43" s="18"/>
      <c r="I43" s="25">
        <f>Dimensions!$D$34*A43*A43*A43*0.000000000000000001</f>
        <v>9.443844850349642E-11</v>
      </c>
      <c r="J43" s="25">
        <f t="shared" si="2"/>
        <v>73.4446627397019</v>
      </c>
      <c r="K43" s="25">
        <f>Dimensions!$D$37*J43</f>
        <v>11016.699410955283</v>
      </c>
    </row>
    <row r="44" spans="1:11" ht="10.5">
      <c r="A44" s="34">
        <f t="shared" si="3"/>
        <v>35</v>
      </c>
      <c r="B44" s="16"/>
      <c r="C44" s="25">
        <f t="shared" si="0"/>
        <v>7.35E-09</v>
      </c>
      <c r="D44" s="18"/>
      <c r="E44" s="25">
        <f>Dimensions!$D$33*A44*A44*A44*0.000000000000000001</f>
        <v>6.867915868762142E-11</v>
      </c>
      <c r="F44" s="25">
        <f t="shared" si="1"/>
        <v>107.01936570642278</v>
      </c>
      <c r="G44" s="25">
        <f>Dimensions!$D$36*F44</f>
        <v>10701.936570642278</v>
      </c>
      <c r="H44" s="18"/>
      <c r="I44" s="25">
        <f>Dimensions!$D$34*A44*A44*A44*0.000000000000000001</f>
        <v>1.0301873803143213E-10</v>
      </c>
      <c r="J44" s="25">
        <f t="shared" si="2"/>
        <v>71.34624380428185</v>
      </c>
      <c r="K44" s="25">
        <f>Dimensions!$D$37*J44</f>
        <v>10701.936570642276</v>
      </c>
    </row>
    <row r="45" spans="1:11" ht="10.5">
      <c r="A45" s="34">
        <f t="shared" si="3"/>
        <v>36</v>
      </c>
      <c r="B45" s="16"/>
      <c r="C45" s="25">
        <f t="shared" si="0"/>
        <v>7.776E-09</v>
      </c>
      <c r="D45" s="18"/>
      <c r="E45" s="25">
        <f>Dimensions!$D$33*A45*A45*A45*0.000000000000000001</f>
        <v>7.473573942226625E-11</v>
      </c>
      <c r="F45" s="25">
        <f t="shared" si="1"/>
        <v>104.04660554791101</v>
      </c>
      <c r="G45" s="25">
        <f>Dimensions!$D$36*F45</f>
        <v>10404.660554791102</v>
      </c>
      <c r="H45" s="18"/>
      <c r="I45" s="25">
        <f>Dimensions!$D$34*A45*A45*A45*0.000000000000000001</f>
        <v>1.1210360913339935E-10</v>
      </c>
      <c r="J45" s="25">
        <f t="shared" si="2"/>
        <v>69.36440369860736</v>
      </c>
      <c r="K45" s="25">
        <f>Dimensions!$D$37*J45</f>
        <v>10404.660554791102</v>
      </c>
    </row>
    <row r="46" spans="1:11" ht="10.5">
      <c r="A46" s="34">
        <f t="shared" si="3"/>
        <v>37</v>
      </c>
      <c r="B46" s="16"/>
      <c r="C46" s="25">
        <f t="shared" si="0"/>
        <v>8.214E-09</v>
      </c>
      <c r="D46" s="18"/>
      <c r="E46" s="25">
        <f>Dimensions!$D$33*A46*A46*A46*0.000000000000000001</f>
        <v>8.113831895053266E-11</v>
      </c>
      <c r="F46" s="25">
        <f t="shared" si="1"/>
        <v>101.23453512769723</v>
      </c>
      <c r="G46" s="25">
        <f>Dimensions!$D$36*F46</f>
        <v>10123.453512769724</v>
      </c>
      <c r="H46" s="18"/>
      <c r="I46" s="25">
        <f>Dimensions!$D$34*A46*A46*A46*0.000000000000000001</f>
        <v>1.2170747842579897E-10</v>
      </c>
      <c r="J46" s="25">
        <f t="shared" si="2"/>
        <v>67.4896900851315</v>
      </c>
      <c r="K46" s="25">
        <f>Dimensions!$D$37*J46</f>
        <v>10123.453512769724</v>
      </c>
    </row>
    <row r="47" spans="1:11" ht="10.5">
      <c r="A47" s="34">
        <f t="shared" si="3"/>
        <v>38</v>
      </c>
      <c r="B47" s="16"/>
      <c r="C47" s="25">
        <f t="shared" si="0"/>
        <v>8.663999999999999E-09</v>
      </c>
      <c r="D47" s="18"/>
      <c r="E47" s="25">
        <f>Dimensions!$D$33*A47*A47*A47*0.000000000000000001</f>
        <v>8.78965083500213E-11</v>
      </c>
      <c r="F47" s="25">
        <f t="shared" si="1"/>
        <v>98.57046841381043</v>
      </c>
      <c r="G47" s="25">
        <f>Dimensions!$D$36*F47</f>
        <v>9857.046841381043</v>
      </c>
      <c r="H47" s="18"/>
      <c r="I47" s="25">
        <f>Dimensions!$D$34*A47*A47*A47*0.000000000000000001</f>
        <v>1.3184476252503193E-10</v>
      </c>
      <c r="J47" s="25">
        <f t="shared" si="2"/>
        <v>65.71364560920696</v>
      </c>
      <c r="K47" s="25">
        <f>Dimensions!$D$37*J47</f>
        <v>9857.046841381043</v>
      </c>
    </row>
    <row r="48" spans="1:11" ht="10.5">
      <c r="A48" s="34">
        <f t="shared" si="3"/>
        <v>39</v>
      </c>
      <c r="B48" s="16"/>
      <c r="C48" s="25">
        <f t="shared" si="0"/>
        <v>9.126E-09</v>
      </c>
      <c r="D48" s="18"/>
      <c r="E48" s="25">
        <f>Dimensions!$D$33*A48*A48*A48*0.000000000000000001</f>
        <v>9.501991869833272E-11</v>
      </c>
      <c r="F48" s="25">
        <f t="shared" si="1"/>
        <v>96.04302050576402</v>
      </c>
      <c r="G48" s="25">
        <f>Dimensions!$D$36*F48</f>
        <v>9604.302050576402</v>
      </c>
      <c r="H48" s="18"/>
      <c r="I48" s="25">
        <f>Dimensions!$D$34*A48*A48*A48*0.000000000000000001</f>
        <v>1.4252987804749908E-10</v>
      </c>
      <c r="J48" s="25">
        <f t="shared" si="2"/>
        <v>64.02868033717601</v>
      </c>
      <c r="K48" s="25">
        <f>Dimensions!$D$37*J48</f>
        <v>9604.3020505764</v>
      </c>
    </row>
    <row r="49" spans="1:11" ht="10.5">
      <c r="A49" s="34">
        <f t="shared" si="3"/>
        <v>40</v>
      </c>
      <c r="B49" s="16"/>
      <c r="C49" s="25">
        <f t="shared" si="0"/>
        <v>9.6E-09</v>
      </c>
      <c r="D49" s="18"/>
      <c r="E49" s="25">
        <f>Dimensions!$D$33*A49*A49*A49*0.000000000000000001</f>
        <v>1.0251816107306757E-10</v>
      </c>
      <c r="F49" s="25">
        <f t="shared" si="1"/>
        <v>93.6419449931199</v>
      </c>
      <c r="G49" s="25">
        <f>Dimensions!$D$36*F49</f>
        <v>9364.19449931199</v>
      </c>
      <c r="H49" s="18"/>
      <c r="I49" s="25">
        <f>Dimensions!$D$34*A49*A49*A49*0.000000000000000001</f>
        <v>1.5377724160960134E-10</v>
      </c>
      <c r="J49" s="25">
        <f t="shared" si="2"/>
        <v>62.427963328746614</v>
      </c>
      <c r="K49" s="25">
        <f>Dimensions!$D$37*J49</f>
        <v>9364.19449931199</v>
      </c>
    </row>
    <row r="50" spans="1:11" ht="10.5">
      <c r="A50" s="34">
        <f t="shared" si="3"/>
        <v>41</v>
      </c>
      <c r="B50" s="16"/>
      <c r="C50" s="25">
        <f t="shared" si="0"/>
        <v>1.0086E-08</v>
      </c>
      <c r="D50" s="18"/>
      <c r="E50" s="25">
        <f>Dimensions!$D$33*A50*A50*A50*0.000000000000000001</f>
        <v>1.1040084655182639E-10</v>
      </c>
      <c r="F50" s="25">
        <f t="shared" si="1"/>
        <v>91.35799511523895</v>
      </c>
      <c r="G50" s="25">
        <f>Dimensions!$D$36*F50</f>
        <v>9135.799511523895</v>
      </c>
      <c r="H50" s="18"/>
      <c r="I50" s="25">
        <f>Dimensions!$D$34*A50*A50*A50*0.000000000000000001</f>
        <v>1.6560126982773958E-10</v>
      </c>
      <c r="J50" s="25">
        <f t="shared" si="2"/>
        <v>60.90533007682597</v>
      </c>
      <c r="K50" s="25">
        <f>Dimensions!$D$37*J50</f>
        <v>9135.799511523894</v>
      </c>
    </row>
    <row r="51" spans="1:11" ht="10.5">
      <c r="A51" s="34">
        <f t="shared" si="3"/>
        <v>42</v>
      </c>
      <c r="B51" s="16"/>
      <c r="C51" s="25">
        <f t="shared" si="0"/>
        <v>1.0583999999999999E-08</v>
      </c>
      <c r="D51" s="18"/>
      <c r="E51" s="25">
        <f>Dimensions!$D$33*A51*A51*A51*0.000000000000000001</f>
        <v>1.1867758621220979E-10</v>
      </c>
      <c r="F51" s="25">
        <f t="shared" si="1"/>
        <v>89.18280475535234</v>
      </c>
      <c r="G51" s="25">
        <f>Dimensions!$D$36*F51</f>
        <v>8918.280475535234</v>
      </c>
      <c r="H51" s="18"/>
      <c r="I51" s="25">
        <f>Dimensions!$D$34*A51*A51*A51*0.000000000000000001</f>
        <v>1.7801637931831472E-10</v>
      </c>
      <c r="J51" s="25">
        <f t="shared" si="2"/>
        <v>59.455203170234874</v>
      </c>
      <c r="K51" s="25">
        <f>Dimensions!$D$37*J51</f>
        <v>8918.28047553523</v>
      </c>
    </row>
    <row r="52" spans="1:11" ht="10.5">
      <c r="A52" s="34">
        <f t="shared" si="3"/>
        <v>43</v>
      </c>
      <c r="B52" s="16"/>
      <c r="C52" s="25">
        <f t="shared" si="0"/>
        <v>1.1094E-08</v>
      </c>
      <c r="D52" s="18"/>
      <c r="E52" s="25">
        <f>Dimensions!$D$33*A52*A52*A52*0.000000000000000001</f>
        <v>1.2735799113181847E-10</v>
      </c>
      <c r="F52" s="25">
        <f t="shared" si="1"/>
        <v>87.10878604011155</v>
      </c>
      <c r="G52" s="25">
        <f>Dimensions!$D$36*F52</f>
        <v>8710.878604011155</v>
      </c>
      <c r="H52" s="18"/>
      <c r="I52" s="25">
        <f>Dimensions!$D$34*A52*A52*A52*0.000000000000000001</f>
        <v>1.910369866977277E-10</v>
      </c>
      <c r="J52" s="25">
        <f t="shared" si="2"/>
        <v>58.072524026741036</v>
      </c>
      <c r="K52" s="25">
        <f>Dimensions!$D$37*J52</f>
        <v>8710.878604011154</v>
      </c>
    </row>
    <row r="53" spans="1:11" ht="10.5">
      <c r="A53" s="34">
        <f t="shared" si="3"/>
        <v>44</v>
      </c>
      <c r="B53" s="16"/>
      <c r="C53" s="25">
        <f t="shared" si="0"/>
        <v>1.1616E-08</v>
      </c>
      <c r="D53" s="18"/>
      <c r="E53" s="25">
        <f>Dimensions!$D$33*A53*A53*A53*0.000000000000000001</f>
        <v>1.364516723882529E-10</v>
      </c>
      <c r="F53" s="25">
        <f t="shared" si="1"/>
        <v>85.1290409028363</v>
      </c>
      <c r="G53" s="25">
        <f>Dimensions!$D$36*F53</f>
        <v>8512.90409028363</v>
      </c>
      <c r="H53" s="18"/>
      <c r="I53" s="25">
        <f>Dimensions!$D$34*A53*A53*A53*0.000000000000000001</f>
        <v>2.0467750858237935E-10</v>
      </c>
      <c r="J53" s="25">
        <f t="shared" si="2"/>
        <v>56.7526939352242</v>
      </c>
      <c r="K53" s="25">
        <f>Dimensions!$D$37*J53</f>
        <v>8512.904090283628</v>
      </c>
    </row>
    <row r="54" spans="1:11" ht="10.5">
      <c r="A54" s="34">
        <f t="shared" si="3"/>
        <v>45</v>
      </c>
      <c r="B54" s="16"/>
      <c r="C54" s="25">
        <f t="shared" si="0"/>
        <v>1.215E-08</v>
      </c>
      <c r="D54" s="18"/>
      <c r="E54" s="25">
        <f>Dimensions!$D$33*A54*A54*A54*0.000000000000000001</f>
        <v>1.4596824105911374E-10</v>
      </c>
      <c r="F54" s="25">
        <f t="shared" si="1"/>
        <v>83.23728443832883</v>
      </c>
      <c r="G54" s="25">
        <f>Dimensions!$D$36*F54</f>
        <v>8323.728443832882</v>
      </c>
      <c r="H54" s="18"/>
      <c r="I54" s="25">
        <f>Dimensions!$D$34*A54*A54*A54*0.000000000000000001</f>
        <v>2.1895236158867062E-10</v>
      </c>
      <c r="J54" s="25">
        <f t="shared" si="2"/>
        <v>55.49152295888589</v>
      </c>
      <c r="K54" s="25">
        <f>Dimensions!$D$37*J54</f>
        <v>8323.728443832882</v>
      </c>
    </row>
    <row r="55" spans="1:11" ht="10.5">
      <c r="A55" s="34">
        <f t="shared" si="3"/>
        <v>46</v>
      </c>
      <c r="B55" s="16"/>
      <c r="C55" s="25">
        <f t="shared" si="0"/>
        <v>1.2696E-08</v>
      </c>
      <c r="D55" s="18"/>
      <c r="E55" s="25">
        <f>Dimensions!$D$33*A55*A55*A55*0.000000000000000001</f>
        <v>1.5591730822200161E-10</v>
      </c>
      <c r="F55" s="25">
        <f t="shared" si="1"/>
        <v>81.42777825488689</v>
      </c>
      <c r="G55" s="25">
        <f>Dimensions!$D$36*F55</f>
        <v>8142.777825488689</v>
      </c>
      <c r="H55" s="18"/>
      <c r="I55" s="25">
        <f>Dimensions!$D$34*A55*A55*A55*0.000000000000000001</f>
        <v>2.338759623330024E-10</v>
      </c>
      <c r="J55" s="25">
        <f t="shared" si="2"/>
        <v>54.285185503257935</v>
      </c>
      <c r="K55" s="25">
        <f>Dimensions!$D$37*J55</f>
        <v>8142.777825488689</v>
      </c>
    </row>
    <row r="56" spans="1:11" ht="10.5">
      <c r="A56" s="34">
        <f t="shared" si="3"/>
        <v>47</v>
      </c>
      <c r="B56" s="16"/>
      <c r="C56" s="25">
        <f t="shared" si="0"/>
        <v>1.3253999999999999E-08</v>
      </c>
      <c r="D56" s="18"/>
      <c r="E56" s="25">
        <f>Dimensions!$D$33*A56*A56*A56*0.000000000000000001</f>
        <v>1.6630848495451708E-10</v>
      </c>
      <c r="F56" s="25">
        <f t="shared" si="1"/>
        <v>79.69527233457013</v>
      </c>
      <c r="G56" s="25">
        <f>Dimensions!$D$36*F56</f>
        <v>7969.527233457014</v>
      </c>
      <c r="H56" s="18"/>
      <c r="I56" s="25">
        <f>Dimensions!$D$34*A56*A56*A56*0.000000000000000001</f>
        <v>2.494627274317756E-10</v>
      </c>
      <c r="J56" s="25">
        <f t="shared" si="2"/>
        <v>53.1301815563801</v>
      </c>
      <c r="K56" s="25">
        <f>Dimensions!$D$37*J56</f>
        <v>7969.527233457014</v>
      </c>
    </row>
    <row r="57" spans="1:11" ht="10.5">
      <c r="A57" s="34">
        <f t="shared" si="3"/>
        <v>48</v>
      </c>
      <c r="B57" s="16"/>
      <c r="C57" s="25">
        <f t="shared" si="0"/>
        <v>1.3824E-08</v>
      </c>
      <c r="D57" s="18"/>
      <c r="E57" s="25">
        <f>Dimensions!$D$33*A57*A57*A57*0.000000000000000001</f>
        <v>1.7715138233426073E-10</v>
      </c>
      <c r="F57" s="25">
        <f t="shared" si="1"/>
        <v>78.03495416093327</v>
      </c>
      <c r="G57" s="25">
        <f>Dimensions!$D$36*F57</f>
        <v>7803.495416093327</v>
      </c>
      <c r="H57" s="18"/>
      <c r="I57" s="25">
        <f>Dimensions!$D$34*A57*A57*A57*0.000000000000000001</f>
        <v>2.6572707350139106E-10</v>
      </c>
      <c r="J57" s="25">
        <f t="shared" si="2"/>
        <v>52.02330277395552</v>
      </c>
      <c r="K57" s="25">
        <f>Dimensions!$D$37*J57</f>
        <v>7803.495416093327</v>
      </c>
    </row>
    <row r="58" spans="1:11" ht="10.5">
      <c r="A58" s="34">
        <f t="shared" si="3"/>
        <v>49</v>
      </c>
      <c r="B58" s="16"/>
      <c r="C58" s="25">
        <f t="shared" si="0"/>
        <v>1.4406E-08</v>
      </c>
      <c r="D58" s="18"/>
      <c r="E58" s="25">
        <f>Dimensions!$D$33*A58*A58*A58*0.000000000000000001</f>
        <v>1.884556114388332E-10</v>
      </c>
      <c r="F58" s="25">
        <f t="shared" si="1"/>
        <v>76.44240407601627</v>
      </c>
      <c r="G58" s="25">
        <f>Dimensions!$D$36*F58</f>
        <v>7644.240407601627</v>
      </c>
      <c r="H58" s="18"/>
      <c r="I58" s="25">
        <f>Dimensions!$D$34*A58*A58*A58*0.000000000000000001</f>
        <v>2.8268341715824973E-10</v>
      </c>
      <c r="J58" s="25">
        <f t="shared" si="2"/>
        <v>50.961602717344185</v>
      </c>
      <c r="K58" s="25">
        <f>Dimensions!$D$37*J58</f>
        <v>7644.240407601626</v>
      </c>
    </row>
    <row r="59" spans="1:11" ht="10.5">
      <c r="A59" s="34">
        <f t="shared" si="3"/>
        <v>50</v>
      </c>
      <c r="B59" s="16"/>
      <c r="C59" s="25">
        <f t="shared" si="0"/>
        <v>1.5E-08</v>
      </c>
      <c r="D59" s="18"/>
      <c r="E59" s="25">
        <f>Dimensions!$D$33*A59*A59*A59*0.000000000000000001</f>
        <v>2.0023078334583507E-10</v>
      </c>
      <c r="F59" s="25">
        <f t="shared" si="1"/>
        <v>74.91355599449592</v>
      </c>
      <c r="G59" s="25">
        <f>Dimensions!$D$36*F59</f>
        <v>7491.355599449592</v>
      </c>
      <c r="H59" s="18"/>
      <c r="I59" s="25">
        <f>Dimensions!$D$34*A59*A59*A59*0.000000000000000001</f>
        <v>3.003461750187526E-10</v>
      </c>
      <c r="J59" s="25">
        <f t="shared" si="2"/>
        <v>49.942370662997284</v>
      </c>
      <c r="K59" s="25">
        <f>Dimensions!$D$37*J59</f>
        <v>7491.355599449591</v>
      </c>
    </row>
    <row r="60" spans="1:11" ht="10.5">
      <c r="A60" s="34">
        <f t="shared" si="3"/>
        <v>51</v>
      </c>
      <c r="B60" s="16"/>
      <c r="C60" s="25">
        <f t="shared" si="0"/>
        <v>1.5606E-08</v>
      </c>
      <c r="D60" s="18"/>
      <c r="E60" s="25">
        <f>Dimensions!$D$33*A60*A60*A60*0.000000000000000001</f>
        <v>2.1248650913286697E-10</v>
      </c>
      <c r="F60" s="25">
        <f t="shared" si="1"/>
        <v>73.4446627397019</v>
      </c>
      <c r="G60" s="25">
        <f>Dimensions!$D$36*F60</f>
        <v>7344.46627397019</v>
      </c>
      <c r="H60" s="18"/>
      <c r="I60" s="25">
        <f>Dimensions!$D$34*A60*A60*A60*0.000000000000000001</f>
        <v>3.187297636993004E-10</v>
      </c>
      <c r="J60" s="25">
        <f t="shared" si="2"/>
        <v>48.963108493134605</v>
      </c>
      <c r="K60" s="25">
        <f>Dimensions!$D$37*J60</f>
        <v>7344.46627397019</v>
      </c>
    </row>
    <row r="61" spans="1:11" ht="10.5">
      <c r="A61" s="34">
        <f t="shared" si="3"/>
        <v>52</v>
      </c>
      <c r="B61" s="16"/>
      <c r="C61" s="25">
        <f t="shared" si="0"/>
        <v>1.6224E-08</v>
      </c>
      <c r="D61" s="18"/>
      <c r="E61" s="25">
        <f>Dimensions!$D$33*A61*A61*A61*0.000000000000000001</f>
        <v>2.2523239987752942E-10</v>
      </c>
      <c r="F61" s="25">
        <f t="shared" si="1"/>
        <v>72.03226537932302</v>
      </c>
      <c r="G61" s="25">
        <f>Dimensions!$D$36*F61</f>
        <v>7203.226537932303</v>
      </c>
      <c r="H61" s="18"/>
      <c r="I61" s="25">
        <f>Dimensions!$D$34*A61*A61*A61*0.000000000000000001</f>
        <v>3.378485998162941E-10</v>
      </c>
      <c r="J61" s="25">
        <f t="shared" si="2"/>
        <v>48.02151025288202</v>
      </c>
      <c r="K61" s="25">
        <f>Dimensions!$D$37*J61</f>
        <v>7203.226537932301</v>
      </c>
    </row>
    <row r="62" spans="1:11" ht="10.5">
      <c r="A62" s="34">
        <f t="shared" si="3"/>
        <v>53</v>
      </c>
      <c r="B62" s="16"/>
      <c r="C62" s="25">
        <f t="shared" si="0"/>
        <v>1.6854E-08</v>
      </c>
      <c r="D62" s="18"/>
      <c r="E62" s="25">
        <f>Dimensions!$D$33*A62*A62*A62*0.000000000000000001</f>
        <v>2.384780666574231E-10</v>
      </c>
      <c r="F62" s="25">
        <f t="shared" si="1"/>
        <v>70.67316603254334</v>
      </c>
      <c r="G62" s="25">
        <f>Dimensions!$D$36*F62</f>
        <v>7067.316603254333</v>
      </c>
      <c r="H62" s="18"/>
      <c r="I62" s="25">
        <f>Dimensions!$D$34*A62*A62*A62*0.000000000000000001</f>
        <v>3.5771709998613463E-10</v>
      </c>
      <c r="J62" s="25">
        <f t="shared" si="2"/>
        <v>47.11544402169556</v>
      </c>
      <c r="K62" s="25">
        <f>Dimensions!$D$37*J62</f>
        <v>7067.316603254332</v>
      </c>
    </row>
    <row r="63" spans="1:11" ht="10.5">
      <c r="A63" s="34">
        <f t="shared" si="3"/>
        <v>54</v>
      </c>
      <c r="B63" s="16"/>
      <c r="C63" s="25">
        <f t="shared" si="0"/>
        <v>1.7496E-08</v>
      </c>
      <c r="D63" s="18"/>
      <c r="E63" s="25">
        <f>Dimensions!$D$33*A63*A63*A63*0.000000000000000001</f>
        <v>2.522331205501486E-10</v>
      </c>
      <c r="F63" s="25">
        <f t="shared" si="1"/>
        <v>69.36440369860735</v>
      </c>
      <c r="G63" s="25">
        <f>Dimensions!$D$36*F63</f>
        <v>6936.440369860735</v>
      </c>
      <c r="H63" s="18"/>
      <c r="I63" s="25">
        <f>Dimensions!$D$34*A63*A63*A63*0.000000000000000001</f>
        <v>3.783496808252228E-10</v>
      </c>
      <c r="J63" s="25">
        <f t="shared" si="2"/>
        <v>46.242935799071574</v>
      </c>
      <c r="K63" s="25">
        <f>Dimensions!$D$37*J63</f>
        <v>6936.440369860735</v>
      </c>
    </row>
    <row r="64" spans="1:11" ht="10.5">
      <c r="A64" s="34">
        <f t="shared" si="3"/>
        <v>55</v>
      </c>
      <c r="B64" s="16"/>
      <c r="C64" s="25">
        <f t="shared" si="0"/>
        <v>1.815E-08</v>
      </c>
      <c r="D64" s="18"/>
      <c r="E64" s="25">
        <f>Dimensions!$D$33*A64*A64*A64*0.000000000000000001</f>
        <v>2.665071726333065E-10</v>
      </c>
      <c r="F64" s="25">
        <f t="shared" si="1"/>
        <v>68.10323272226904</v>
      </c>
      <c r="G64" s="25">
        <f>Dimensions!$D$36*F64</f>
        <v>6810.323272226904</v>
      </c>
      <c r="H64" s="18"/>
      <c r="I64" s="25">
        <f>Dimensions!$D$34*A64*A64*A64*0.000000000000000001</f>
        <v>3.9976075894995966E-10</v>
      </c>
      <c r="J64" s="25">
        <f t="shared" si="2"/>
        <v>45.40215514817936</v>
      </c>
      <c r="K64" s="25">
        <f>Dimensions!$D$37*J64</f>
        <v>6810.323272226903</v>
      </c>
    </row>
    <row r="65" spans="1:11" ht="10.5">
      <c r="A65" s="34">
        <f t="shared" si="3"/>
        <v>56</v>
      </c>
      <c r="B65" s="16"/>
      <c r="C65" s="25">
        <f t="shared" si="0"/>
        <v>1.8816E-08</v>
      </c>
      <c r="D65" s="18"/>
      <c r="E65" s="25">
        <f>Dimensions!$D$33*A65*A65*A65*0.000000000000000001</f>
        <v>2.8130983398449737E-10</v>
      </c>
      <c r="F65" s="25">
        <f t="shared" si="1"/>
        <v>66.88710356651423</v>
      </c>
      <c r="G65" s="25">
        <f>Dimensions!$D$36*F65</f>
        <v>6688.710356651422</v>
      </c>
      <c r="H65" s="18"/>
      <c r="I65" s="25">
        <f>Dimensions!$D$34*A65*A65*A65*0.000000000000000001</f>
        <v>4.21964750976746E-10</v>
      </c>
      <c r="J65" s="25">
        <f t="shared" si="2"/>
        <v>44.59140237767616</v>
      </c>
      <c r="K65" s="25">
        <f>Dimensions!$D$37*J65</f>
        <v>6688.710356651422</v>
      </c>
    </row>
    <row r="66" spans="1:11" ht="10.5">
      <c r="A66" s="34">
        <f t="shared" si="3"/>
        <v>57</v>
      </c>
      <c r="B66" s="16"/>
      <c r="C66" s="25">
        <f t="shared" si="0"/>
        <v>1.9494E-08</v>
      </c>
      <c r="D66" s="18"/>
      <c r="E66" s="25">
        <f>Dimensions!$D$33*A66*A66*A66*0.000000000000000001</f>
        <v>2.966507156813219E-10</v>
      </c>
      <c r="F66" s="25">
        <f t="shared" si="1"/>
        <v>65.71364560920696</v>
      </c>
      <c r="G66" s="25">
        <f>Dimensions!$D$36*F66</f>
        <v>6571.364560920696</v>
      </c>
      <c r="H66" s="18"/>
      <c r="I66" s="25">
        <f>Dimensions!$D$34*A66*A66*A66*0.000000000000000001</f>
        <v>4.4497607352198276E-10</v>
      </c>
      <c r="J66" s="25">
        <f t="shared" si="2"/>
        <v>43.80909707280465</v>
      </c>
      <c r="K66" s="25">
        <f>Dimensions!$D$37*J66</f>
        <v>6571.364560920696</v>
      </c>
    </row>
    <row r="67" spans="1:11" ht="10.5">
      <c r="A67" s="34">
        <f t="shared" si="3"/>
        <v>58</v>
      </c>
      <c r="B67" s="16"/>
      <c r="C67" s="25">
        <f t="shared" si="0"/>
        <v>2.0184E-08</v>
      </c>
      <c r="D67" s="18"/>
      <c r="E67" s="25">
        <f>Dimensions!$D$33*A67*A67*A67*0.000000000000000001</f>
        <v>3.1253942880138053E-10</v>
      </c>
      <c r="F67" s="25">
        <f t="shared" si="1"/>
        <v>64.58065171939306</v>
      </c>
      <c r="G67" s="25">
        <f>Dimensions!$D$36*F67</f>
        <v>6458.065171939306</v>
      </c>
      <c r="H67" s="18"/>
      <c r="I67" s="25">
        <f>Dimensions!$D$34*A67*A67*A67*0.000000000000000001</f>
        <v>4.688091432020708E-10</v>
      </c>
      <c r="J67" s="25">
        <f t="shared" si="2"/>
        <v>43.053767812928704</v>
      </c>
      <c r="K67" s="25">
        <f>Dimensions!$D$37*J67</f>
        <v>6458.0651719393045</v>
      </c>
    </row>
    <row r="68" spans="1:11" ht="10.5">
      <c r="A68" s="34">
        <f t="shared" si="3"/>
        <v>59</v>
      </c>
      <c r="B68" s="16"/>
      <c r="C68" s="25">
        <f t="shared" si="0"/>
        <v>2.0886E-08</v>
      </c>
      <c r="D68" s="18"/>
      <c r="E68" s="25">
        <f>Dimensions!$D$33*A68*A68*A68*0.000000000000000001</f>
        <v>3.28985584422274E-10</v>
      </c>
      <c r="F68" s="25">
        <f t="shared" si="1"/>
        <v>63.48606440211522</v>
      </c>
      <c r="G68" s="25">
        <f>Dimensions!$D$36*F68</f>
        <v>6348.606440211522</v>
      </c>
      <c r="H68" s="18"/>
      <c r="I68" s="25">
        <f>Dimensions!$D$34*A68*A68*A68*0.000000000000000001</f>
        <v>4.93478376633411E-10</v>
      </c>
      <c r="J68" s="25">
        <f t="shared" si="2"/>
        <v>42.324042934743474</v>
      </c>
      <c r="K68" s="25">
        <f>Dimensions!$D$37*J68</f>
        <v>6348.60644021152</v>
      </c>
    </row>
    <row r="69" spans="1:11" ht="10.5">
      <c r="A69" s="13">
        <f t="shared" si="3"/>
        <v>60</v>
      </c>
      <c r="B69" s="13"/>
      <c r="C69" s="15">
        <f t="shared" si="0"/>
        <v>2.1599999999999998E-08</v>
      </c>
      <c r="D69" s="15"/>
      <c r="E69" s="15">
        <f>Dimensions!$D$33*A69*A69*A69*0.000000000000000001</f>
        <v>3.4599879362160303E-10</v>
      </c>
      <c r="F69" s="15">
        <f t="shared" si="1"/>
        <v>62.4279633287466</v>
      </c>
      <c r="G69" s="15">
        <f>Dimensions!$D$36*F69</f>
        <v>6242.79633287466</v>
      </c>
      <c r="H69" s="15"/>
      <c r="I69" s="15">
        <f>Dimensions!$D$34*A69*A69*A69*0.000000000000000001</f>
        <v>5.189981904324044E-10</v>
      </c>
      <c r="J69" s="15">
        <f t="shared" si="2"/>
        <v>41.618642219164414</v>
      </c>
      <c r="K69" s="15">
        <f>Dimensions!$D$37*J69</f>
        <v>6242.796332874661</v>
      </c>
    </row>
    <row r="70" spans="1:11" ht="10.5">
      <c r="A70" s="34">
        <f t="shared" si="3"/>
        <v>61</v>
      </c>
      <c r="B70" s="16"/>
      <c r="C70" s="25">
        <f t="shared" si="0"/>
        <v>2.2326E-08</v>
      </c>
      <c r="D70" s="18"/>
      <c r="E70" s="25">
        <f>Dimensions!$D$33*A70*A70*A70*0.000000000000000001</f>
        <v>3.635886674769679E-10</v>
      </c>
      <c r="F70" s="25">
        <f t="shared" si="1"/>
        <v>61.40455409384913</v>
      </c>
      <c r="G70" s="25">
        <f>Dimensions!$D$36*F70</f>
        <v>6140.455409384913</v>
      </c>
      <c r="H70" s="18"/>
      <c r="I70" s="25">
        <f>Dimensions!$D$34*A70*A70*A70*0.000000000000000001</f>
        <v>5.453830012154518E-10</v>
      </c>
      <c r="J70" s="25">
        <f t="shared" si="2"/>
        <v>40.936369395899426</v>
      </c>
      <c r="K70" s="25">
        <f>Dimensions!$D$37*J70</f>
        <v>6140.455409384913</v>
      </c>
    </row>
    <row r="71" spans="1:11" ht="10.5">
      <c r="A71" s="34">
        <f t="shared" si="3"/>
        <v>62</v>
      </c>
      <c r="B71" s="16"/>
      <c r="C71" s="25">
        <f t="shared" si="0"/>
        <v>2.3064E-08</v>
      </c>
      <c r="D71" s="18"/>
      <c r="E71" s="25">
        <f>Dimensions!$D$33*A71*A71*A71*0.000000000000000001</f>
        <v>3.8176481706596943E-10</v>
      </c>
      <c r="F71" s="25">
        <f t="shared" si="1"/>
        <v>60.41415806007737</v>
      </c>
      <c r="G71" s="25">
        <f>Dimensions!$D$36*F71</f>
        <v>6041.415806007737</v>
      </c>
      <c r="H71" s="18"/>
      <c r="I71" s="25">
        <f>Dimensions!$D$34*A71*A71*A71*0.000000000000000001</f>
        <v>5.726472255989542E-10</v>
      </c>
      <c r="J71" s="25">
        <f t="shared" si="2"/>
        <v>40.276105373384915</v>
      </c>
      <c r="K71" s="25">
        <f>Dimensions!$D$37*J71</f>
        <v>6041.415806007736</v>
      </c>
    </row>
    <row r="72" spans="1:11" ht="10.5">
      <c r="A72" s="34">
        <f t="shared" si="3"/>
        <v>63</v>
      </c>
      <c r="B72" s="16"/>
      <c r="C72" s="25">
        <f t="shared" si="0"/>
        <v>2.3814E-08</v>
      </c>
      <c r="D72" s="18"/>
      <c r="E72" s="25">
        <f>Dimensions!$D$33*A72*A72*A72*0.000000000000000001</f>
        <v>4.005368534662082E-10</v>
      </c>
      <c r="F72" s="25">
        <f t="shared" si="1"/>
        <v>59.45520317023487</v>
      </c>
      <c r="G72" s="25">
        <f>Dimensions!$D$36*F72</f>
        <v>5945.520317023486</v>
      </c>
      <c r="H72" s="18"/>
      <c r="I72" s="25">
        <f>Dimensions!$D$34*A72*A72*A72*0.000000000000000001</f>
        <v>6.008052801993121E-10</v>
      </c>
      <c r="J72" s="25">
        <f t="shared" si="2"/>
        <v>39.63680211348992</v>
      </c>
      <c r="K72" s="25">
        <f>Dimensions!$D$37*J72</f>
        <v>5945.520317023487</v>
      </c>
    </row>
    <row r="73" spans="1:11" ht="10.5">
      <c r="A73" s="34">
        <f t="shared" si="3"/>
        <v>64</v>
      </c>
      <c r="B73" s="16"/>
      <c r="C73" s="25">
        <f t="shared" si="0"/>
        <v>2.4576E-08</v>
      </c>
      <c r="D73" s="18"/>
      <c r="E73" s="25">
        <f>Dimensions!$D$33*A73*A73*A73*0.000000000000000001</f>
        <v>4.199143877552847E-10</v>
      </c>
      <c r="F73" s="25">
        <f t="shared" si="1"/>
        <v>58.52621562069996</v>
      </c>
      <c r="G73" s="25">
        <f>Dimensions!$D$36*F73</f>
        <v>5852.621562069996</v>
      </c>
      <c r="H73" s="18"/>
      <c r="I73" s="25">
        <f>Dimensions!$D$34*A73*A73*A73*0.000000000000000001</f>
        <v>6.29871581632927E-10</v>
      </c>
      <c r="J73" s="25">
        <f t="shared" si="2"/>
        <v>39.017477080466634</v>
      </c>
      <c r="K73" s="25">
        <f>Dimensions!$D$37*J73</f>
        <v>5852.621562069994</v>
      </c>
    </row>
    <row r="74" spans="1:11" ht="10.5">
      <c r="A74" s="34">
        <f t="shared" si="3"/>
        <v>65</v>
      </c>
      <c r="B74" s="16"/>
      <c r="C74" s="25">
        <f t="shared" si="0"/>
        <v>2.535E-08</v>
      </c>
      <c r="D74" s="18"/>
      <c r="E74" s="25">
        <f>Dimensions!$D$33*A74*A74*A74*0.000000000000000001</f>
        <v>4.399070310107996E-10</v>
      </c>
      <c r="F74" s="25">
        <f t="shared" si="1"/>
        <v>57.62581230345842</v>
      </c>
      <c r="G74" s="25">
        <f>Dimensions!$D$36*F74</f>
        <v>5762.5812303458415</v>
      </c>
      <c r="H74" s="18"/>
      <c r="I74" s="25">
        <f>Dimensions!$D$34*A74*A74*A74*0.000000000000000001</f>
        <v>6.598605465161994E-10</v>
      </c>
      <c r="J74" s="25">
        <f t="shared" si="2"/>
        <v>38.41720820230561</v>
      </c>
      <c r="K74" s="25">
        <f>Dimensions!$D$37*J74</f>
        <v>5762.581230345841</v>
      </c>
    </row>
    <row r="75" spans="1:11" ht="10.5">
      <c r="A75" s="34">
        <f t="shared" si="3"/>
        <v>66</v>
      </c>
      <c r="B75" s="16"/>
      <c r="C75" s="25">
        <f aca="true" t="shared" si="4" ref="C75:C138">6*A75*A75*0.000000000001</f>
        <v>2.6136E-08</v>
      </c>
      <c r="D75" s="18"/>
      <c r="E75" s="25">
        <f>Dimensions!$D$33*A75*A75*A75*0.000000000000000001</f>
        <v>4.6052439431035364E-10</v>
      </c>
      <c r="F75" s="25">
        <f aca="true" t="shared" si="5" ref="F75:F138">C75/E75</f>
        <v>56.75269393522419</v>
      </c>
      <c r="G75" s="25">
        <f>Dimensions!$D$36*F75</f>
        <v>5675.269393522419</v>
      </c>
      <c r="H75" s="18"/>
      <c r="I75" s="25">
        <f>Dimensions!$D$34*A75*A75*A75*0.000000000000000001</f>
        <v>6.907865914655303E-10</v>
      </c>
      <c r="J75" s="25">
        <f aca="true" t="shared" si="6" ref="J75:J138">C75/I75</f>
        <v>37.83512929014947</v>
      </c>
      <c r="K75" s="25">
        <f>Dimensions!$D$37*J75</f>
        <v>5675.269393522419</v>
      </c>
    </row>
    <row r="76" spans="1:11" ht="10.5">
      <c r="A76" s="34">
        <f aca="true" t="shared" si="7" ref="A76:A139">A75+1</f>
        <v>67</v>
      </c>
      <c r="B76" s="16"/>
      <c r="C76" s="25">
        <f t="shared" si="4"/>
        <v>2.6933999999999998E-08</v>
      </c>
      <c r="D76" s="18"/>
      <c r="E76" s="25">
        <f>Dimensions!$D$33*A76*A76*A76*0.000000000000000001</f>
        <v>4.817760887315472E-10</v>
      </c>
      <c r="F76" s="25">
        <f t="shared" si="5"/>
        <v>55.90563880186263</v>
      </c>
      <c r="G76" s="25">
        <f>Dimensions!$D$36*F76</f>
        <v>5590.563880186263</v>
      </c>
      <c r="H76" s="18"/>
      <c r="I76" s="25">
        <f>Dimensions!$D$34*A76*A76*A76*0.000000000000000001</f>
        <v>7.226641330973206E-10</v>
      </c>
      <c r="J76" s="25">
        <f t="shared" si="6"/>
        <v>37.27042586790843</v>
      </c>
      <c r="K76" s="25">
        <f>Dimensions!$D$37*J76</f>
        <v>5590.563880186263</v>
      </c>
    </row>
    <row r="77" spans="1:11" ht="10.5">
      <c r="A77" s="34">
        <f t="shared" si="7"/>
        <v>68</v>
      </c>
      <c r="B77" s="16"/>
      <c r="C77" s="25">
        <f t="shared" si="4"/>
        <v>2.7744E-08</v>
      </c>
      <c r="D77" s="18"/>
      <c r="E77" s="25">
        <f>Dimensions!$D$33*A77*A77*A77*0.000000000000000001</f>
        <v>5.036717253519809E-10</v>
      </c>
      <c r="F77" s="25">
        <f t="shared" si="5"/>
        <v>55.08349705477643</v>
      </c>
      <c r="G77" s="25">
        <f>Dimensions!$D$36*F77</f>
        <v>5508.349705477643</v>
      </c>
      <c r="H77" s="18"/>
      <c r="I77" s="25">
        <f>Dimensions!$D$34*A77*A77*A77*0.000000000000000001</f>
        <v>7.555075880279714E-10</v>
      </c>
      <c r="J77" s="25">
        <f t="shared" si="6"/>
        <v>36.72233136985095</v>
      </c>
      <c r="K77" s="25">
        <f>Dimensions!$D$37*J77</f>
        <v>5508.349705477642</v>
      </c>
    </row>
    <row r="78" spans="1:11" ht="10.5">
      <c r="A78" s="34">
        <f t="shared" si="7"/>
        <v>69</v>
      </c>
      <c r="B78" s="16"/>
      <c r="C78" s="25">
        <f t="shared" si="4"/>
        <v>2.8566E-08</v>
      </c>
      <c r="D78" s="18"/>
      <c r="E78" s="25">
        <f>Dimensions!$D$33*A78*A78*A78*0.000000000000000001</f>
        <v>5.262209152492555E-10</v>
      </c>
      <c r="F78" s="25">
        <f t="shared" si="5"/>
        <v>54.28518550325792</v>
      </c>
      <c r="G78" s="25">
        <f>Dimensions!$D$36*F78</f>
        <v>5428.518550325792</v>
      </c>
      <c r="H78" s="18"/>
      <c r="I78" s="25">
        <f>Dimensions!$D$34*A78*A78*A78*0.000000000000000001</f>
        <v>7.89331372873883E-10</v>
      </c>
      <c r="J78" s="25">
        <f t="shared" si="6"/>
        <v>36.19012366883862</v>
      </c>
      <c r="K78" s="25">
        <f>Dimensions!$D$37*J78</f>
        <v>5428.518550325793</v>
      </c>
    </row>
    <row r="79" spans="1:11" ht="10.5">
      <c r="A79" s="34">
        <f t="shared" si="7"/>
        <v>70</v>
      </c>
      <c r="B79" s="16"/>
      <c r="C79" s="25">
        <f t="shared" si="4"/>
        <v>2.94E-08</v>
      </c>
      <c r="D79" s="18"/>
      <c r="E79" s="25">
        <f>Dimensions!$D$33*A79*A79*A79*0.000000000000000001</f>
        <v>5.494332695009714E-10</v>
      </c>
      <c r="F79" s="25">
        <f t="shared" si="5"/>
        <v>53.50968285321139</v>
      </c>
      <c r="G79" s="25">
        <f>Dimensions!$D$36*F79</f>
        <v>5350.968285321139</v>
      </c>
      <c r="H79" s="18"/>
      <c r="I79" s="25">
        <f>Dimensions!$D$34*A79*A79*A79*0.000000000000000001</f>
        <v>8.241499042514571E-10</v>
      </c>
      <c r="J79" s="25">
        <f t="shared" si="6"/>
        <v>35.67312190214093</v>
      </c>
      <c r="K79" s="25">
        <f>Dimensions!$D$37*J79</f>
        <v>5350.968285321138</v>
      </c>
    </row>
    <row r="80" spans="1:11" ht="10.5">
      <c r="A80" s="34">
        <f t="shared" si="7"/>
        <v>71</v>
      </c>
      <c r="B80" s="16"/>
      <c r="C80" s="25">
        <f t="shared" si="4"/>
        <v>3.0246E-08</v>
      </c>
      <c r="D80" s="18"/>
      <c r="E80" s="25">
        <f>Dimensions!$D$33*A80*A80*A80*0.000000000000000001</f>
        <v>5.733183991847294E-10</v>
      </c>
      <c r="F80" s="25">
        <f t="shared" si="5"/>
        <v>52.75602534823658</v>
      </c>
      <c r="G80" s="25">
        <f>Dimensions!$D$36*F80</f>
        <v>5275.602534823658</v>
      </c>
      <c r="H80" s="18"/>
      <c r="I80" s="25">
        <f>Dimensions!$D$34*A80*A80*A80*0.000000000000000001</f>
        <v>8.599775987770939E-10</v>
      </c>
      <c r="J80" s="25">
        <f t="shared" si="6"/>
        <v>35.17068356549105</v>
      </c>
      <c r="K80" s="25">
        <f>Dimensions!$D$37*J80</f>
        <v>5275.602534823657</v>
      </c>
    </row>
    <row r="81" spans="1:11" ht="10.5">
      <c r="A81" s="34">
        <f t="shared" si="7"/>
        <v>72</v>
      </c>
      <c r="B81" s="16"/>
      <c r="C81" s="25">
        <f t="shared" si="4"/>
        <v>3.1104E-08</v>
      </c>
      <c r="D81" s="18"/>
      <c r="E81" s="25">
        <f>Dimensions!$D$33*A81*A81*A81*0.000000000000000001</f>
        <v>5.9788591537813E-10</v>
      </c>
      <c r="F81" s="25">
        <f t="shared" si="5"/>
        <v>52.02330277395551</v>
      </c>
      <c r="G81" s="25">
        <f>Dimensions!$D$36*F81</f>
        <v>5202.330277395551</v>
      </c>
      <c r="H81" s="18"/>
      <c r="I81" s="25">
        <f>Dimensions!$D$34*A81*A81*A81*0.000000000000000001</f>
        <v>8.968288730671948E-10</v>
      </c>
      <c r="J81" s="25">
        <f t="shared" si="6"/>
        <v>34.68220184930368</v>
      </c>
      <c r="K81" s="25">
        <f>Dimensions!$D$37*J81</f>
        <v>5202.330277395551</v>
      </c>
    </row>
    <row r="82" spans="1:11" ht="10.5">
      <c r="A82" s="34">
        <f t="shared" si="7"/>
        <v>73</v>
      </c>
      <c r="B82" s="16"/>
      <c r="C82" s="25">
        <f t="shared" si="4"/>
        <v>3.1974E-08</v>
      </c>
      <c r="D82" s="18"/>
      <c r="E82" s="25">
        <f>Dimensions!$D$33*A82*A82*A82*0.000000000000000001</f>
        <v>6.231454291587738E-10</v>
      </c>
      <c r="F82" s="25">
        <f t="shared" si="5"/>
        <v>51.31065479075063</v>
      </c>
      <c r="G82" s="25">
        <f>Dimensions!$D$36*F82</f>
        <v>5131.065479075063</v>
      </c>
      <c r="H82" s="18"/>
      <c r="I82" s="25">
        <f>Dimensions!$D$34*A82*A82*A82*0.000000000000000001</f>
        <v>9.347181437381605E-10</v>
      </c>
      <c r="J82" s="25">
        <f t="shared" si="6"/>
        <v>34.20710319383377</v>
      </c>
      <c r="K82" s="25">
        <f>Dimensions!$D$37*J82</f>
        <v>5131.065479075064</v>
      </c>
    </row>
    <row r="83" spans="1:11" ht="10.5">
      <c r="A83" s="34">
        <f t="shared" si="7"/>
        <v>74</v>
      </c>
      <c r="B83" s="16"/>
      <c r="C83" s="25">
        <f t="shared" si="4"/>
        <v>3.2856E-08</v>
      </c>
      <c r="D83" s="18"/>
      <c r="E83" s="25">
        <f>Dimensions!$D$33*A83*A83*A83*0.000000000000000001</f>
        <v>6.491065516042613E-10</v>
      </c>
      <c r="F83" s="25">
        <f t="shared" si="5"/>
        <v>50.617267563848614</v>
      </c>
      <c r="G83" s="25">
        <f>Dimensions!$D$36*F83</f>
        <v>5061.726756384862</v>
      </c>
      <c r="H83" s="18"/>
      <c r="I83" s="25">
        <f>Dimensions!$D$34*A83*A83*A83*0.000000000000000001</f>
        <v>9.736598274063917E-10</v>
      </c>
      <c r="J83" s="25">
        <f t="shared" si="6"/>
        <v>33.74484504256575</v>
      </c>
      <c r="K83" s="25">
        <f>Dimensions!$D$37*J83</f>
        <v>5061.726756384862</v>
      </c>
    </row>
    <row r="84" spans="1:11" ht="10.5">
      <c r="A84" s="34">
        <f t="shared" si="7"/>
        <v>75</v>
      </c>
      <c r="B84" s="16"/>
      <c r="C84" s="25">
        <f t="shared" si="4"/>
        <v>3.375E-08</v>
      </c>
      <c r="D84" s="18"/>
      <c r="E84" s="25">
        <f>Dimensions!$D$33*A84*A84*A84*0.000000000000000001</f>
        <v>6.757788937921933E-10</v>
      </c>
      <c r="F84" s="25">
        <f t="shared" si="5"/>
        <v>49.9423706629973</v>
      </c>
      <c r="G84" s="25">
        <f>Dimensions!$D$36*F84</f>
        <v>4994.23706629973</v>
      </c>
      <c r="H84" s="18"/>
      <c r="I84" s="25">
        <f>Dimensions!$D$34*A84*A84*A84*0.000000000000000001</f>
        <v>1.0136683406882899E-09</v>
      </c>
      <c r="J84" s="25">
        <f t="shared" si="6"/>
        <v>33.29491377533154</v>
      </c>
      <c r="K84" s="25">
        <f>Dimensions!$D$37*J84</f>
        <v>4994.23706629973</v>
      </c>
    </row>
    <row r="85" spans="1:11" ht="10.5">
      <c r="A85" s="34">
        <f t="shared" si="7"/>
        <v>76</v>
      </c>
      <c r="B85" s="16"/>
      <c r="C85" s="25">
        <f t="shared" si="4"/>
        <v>3.4655999999999996E-08</v>
      </c>
      <c r="D85" s="18"/>
      <c r="E85" s="25">
        <f>Dimensions!$D$33*A85*A85*A85*0.000000000000000001</f>
        <v>7.031720668001704E-10</v>
      </c>
      <c r="F85" s="25">
        <f t="shared" si="5"/>
        <v>49.285234206905216</v>
      </c>
      <c r="G85" s="25">
        <f>Dimensions!$D$36*F85</f>
        <v>4928.523420690522</v>
      </c>
      <c r="H85" s="18"/>
      <c r="I85" s="25">
        <f>Dimensions!$D$34*A85*A85*A85*0.000000000000000001</f>
        <v>1.0547581002002555E-09</v>
      </c>
      <c r="J85" s="25">
        <f t="shared" si="6"/>
        <v>32.85682280460348</v>
      </c>
      <c r="K85" s="25">
        <f>Dimensions!$D$37*J85</f>
        <v>4928.523420690522</v>
      </c>
    </row>
    <row r="86" spans="1:11" ht="10.5">
      <c r="A86" s="34">
        <f t="shared" si="7"/>
        <v>77</v>
      </c>
      <c r="B86" s="16"/>
      <c r="C86" s="25">
        <f t="shared" si="4"/>
        <v>3.5574E-08</v>
      </c>
      <c r="D86" s="18"/>
      <c r="E86" s="25">
        <f>Dimensions!$D$33*A86*A86*A86*0.000000000000000001</f>
        <v>7.312956817057929E-10</v>
      </c>
      <c r="F86" s="25">
        <f t="shared" si="5"/>
        <v>48.645166230192174</v>
      </c>
      <c r="G86" s="25">
        <f>Dimensions!$D$36*F86</f>
        <v>4864.516623019217</v>
      </c>
      <c r="H86" s="18"/>
      <c r="I86" s="25">
        <f>Dimensions!$D$34*A86*A86*A86*0.000000000000000001</f>
        <v>1.0969435225586894E-09</v>
      </c>
      <c r="J86" s="25">
        <f t="shared" si="6"/>
        <v>32.430110820128114</v>
      </c>
      <c r="K86" s="25">
        <f>Dimensions!$D$37*J86</f>
        <v>4864.516623019216</v>
      </c>
    </row>
    <row r="87" spans="1:11" ht="10.5">
      <c r="A87" s="34">
        <f t="shared" si="7"/>
        <v>78</v>
      </c>
      <c r="B87" s="16"/>
      <c r="C87" s="25">
        <f t="shared" si="4"/>
        <v>3.6504E-08</v>
      </c>
      <c r="D87" s="18"/>
      <c r="E87" s="25">
        <f>Dimensions!$D$33*A87*A87*A87*0.000000000000000001</f>
        <v>7.601593495866618E-10</v>
      </c>
      <c r="F87" s="25">
        <f t="shared" si="5"/>
        <v>48.02151025288201</v>
      </c>
      <c r="G87" s="25">
        <f>Dimensions!$D$36*F87</f>
        <v>4802.151025288201</v>
      </c>
      <c r="H87" s="18"/>
      <c r="I87" s="25">
        <f>Dimensions!$D$34*A87*A87*A87*0.000000000000000001</f>
        <v>1.1402390243799926E-09</v>
      </c>
      <c r="J87" s="25">
        <f t="shared" si="6"/>
        <v>32.01434016858801</v>
      </c>
      <c r="K87" s="25">
        <f>Dimensions!$D$37*J87</f>
        <v>4802.1510252882</v>
      </c>
    </row>
    <row r="88" spans="1:11" ht="10.5">
      <c r="A88" s="34">
        <f t="shared" si="7"/>
        <v>79</v>
      </c>
      <c r="B88" s="16"/>
      <c r="C88" s="25">
        <f t="shared" si="4"/>
        <v>3.7445999999999997E-08</v>
      </c>
      <c r="D88" s="18"/>
      <c r="E88" s="25">
        <f>Dimensions!$D$33*A88*A88*A88*0.000000000000000001</f>
        <v>7.897726815203773E-10</v>
      </c>
      <c r="F88" s="25">
        <f t="shared" si="5"/>
        <v>47.4136430344911</v>
      </c>
      <c r="G88" s="25">
        <f>Dimensions!$D$36*F88</f>
        <v>4741.364303449111</v>
      </c>
      <c r="H88" s="18"/>
      <c r="I88" s="25">
        <f>Dimensions!$D$34*A88*A88*A88*0.000000000000000001</f>
        <v>1.184659022280566E-09</v>
      </c>
      <c r="J88" s="25">
        <f t="shared" si="6"/>
        <v>31.6090953563274</v>
      </c>
      <c r="K88" s="25">
        <f>Dimensions!$D$37*J88</f>
        <v>4741.36430344911</v>
      </c>
    </row>
    <row r="89" spans="1:11" ht="10.5">
      <c r="A89" s="34">
        <f t="shared" si="7"/>
        <v>80</v>
      </c>
      <c r="B89" s="16"/>
      <c r="C89" s="25">
        <f t="shared" si="4"/>
        <v>3.84E-08</v>
      </c>
      <c r="D89" s="18"/>
      <c r="E89" s="25">
        <f>Dimensions!$D$33*A89*A89*A89*0.000000000000000001</f>
        <v>8.201452885845405E-10</v>
      </c>
      <c r="F89" s="25">
        <f t="shared" si="5"/>
        <v>46.82097249655995</v>
      </c>
      <c r="G89" s="25">
        <f>Dimensions!$D$36*F89</f>
        <v>4682.097249655995</v>
      </c>
      <c r="H89" s="18"/>
      <c r="I89" s="25">
        <f>Dimensions!$D$34*A89*A89*A89*0.000000000000000001</f>
        <v>1.2302179328768107E-09</v>
      </c>
      <c r="J89" s="25">
        <f t="shared" si="6"/>
        <v>31.213981664373307</v>
      </c>
      <c r="K89" s="25">
        <f>Dimensions!$D$37*J89</f>
        <v>4682.097249655995</v>
      </c>
    </row>
    <row r="90" spans="1:11" ht="10.5">
      <c r="A90" s="34">
        <f t="shared" si="7"/>
        <v>81</v>
      </c>
      <c r="B90" s="16"/>
      <c r="C90" s="25">
        <f t="shared" si="4"/>
        <v>3.9365999999999997E-08</v>
      </c>
      <c r="D90" s="18"/>
      <c r="E90" s="25">
        <f>Dimensions!$D$33*A90*A90*A90*0.000000000000000001</f>
        <v>8.512867818567515E-10</v>
      </c>
      <c r="F90" s="25">
        <f t="shared" si="5"/>
        <v>46.24293579907156</v>
      </c>
      <c r="G90" s="25">
        <f>Dimensions!$D$36*F90</f>
        <v>4624.293579907156</v>
      </c>
      <c r="H90" s="18"/>
      <c r="I90" s="25">
        <f>Dimensions!$D$34*A90*A90*A90*0.000000000000000001</f>
        <v>1.276930172785127E-09</v>
      </c>
      <c r="J90" s="25">
        <f t="shared" si="6"/>
        <v>30.828623866047714</v>
      </c>
      <c r="K90" s="25">
        <f>Dimensions!$D$37*J90</f>
        <v>4624.2935799071565</v>
      </c>
    </row>
    <row r="91" spans="1:11" ht="10.5">
      <c r="A91" s="34">
        <f t="shared" si="7"/>
        <v>82</v>
      </c>
      <c r="B91" s="16"/>
      <c r="C91" s="25">
        <f t="shared" si="4"/>
        <v>4.0344E-08</v>
      </c>
      <c r="D91" s="18"/>
      <c r="E91" s="25">
        <f>Dimensions!$D$33*A91*A91*A91*0.000000000000000001</f>
        <v>8.832067724146111E-10</v>
      </c>
      <c r="F91" s="25">
        <f t="shared" si="5"/>
        <v>45.678997557619475</v>
      </c>
      <c r="G91" s="25">
        <f>Dimensions!$D$36*F91</f>
        <v>4567.899755761948</v>
      </c>
      <c r="H91" s="18"/>
      <c r="I91" s="25">
        <f>Dimensions!$D$34*A91*A91*A91*0.000000000000000001</f>
        <v>1.3248101586219167E-09</v>
      </c>
      <c r="J91" s="25">
        <f t="shared" si="6"/>
        <v>30.452665038412984</v>
      </c>
      <c r="K91" s="25">
        <f>Dimensions!$D$37*J91</f>
        <v>4567.899755761947</v>
      </c>
    </row>
    <row r="92" spans="1:11" ht="10.5">
      <c r="A92" s="34">
        <f t="shared" si="7"/>
        <v>83</v>
      </c>
      <c r="B92" s="16"/>
      <c r="C92" s="25">
        <f t="shared" si="4"/>
        <v>4.1334E-08</v>
      </c>
      <c r="D92" s="18"/>
      <c r="E92" s="25">
        <f>Dimensions!$D$33*A92*A92*A92*0.000000000000000001</f>
        <v>9.1591487133572E-10</v>
      </c>
      <c r="F92" s="25">
        <f t="shared" si="5"/>
        <v>45.12864818945538</v>
      </c>
      <c r="G92" s="25">
        <f>Dimensions!$D$36*F92</f>
        <v>4512.864818945538</v>
      </c>
      <c r="H92" s="18"/>
      <c r="I92" s="25">
        <f>Dimensions!$D$34*A92*A92*A92*0.000000000000000001</f>
        <v>1.3738723070035799E-09</v>
      </c>
      <c r="J92" s="25">
        <f t="shared" si="6"/>
        <v>30.085765459636924</v>
      </c>
      <c r="K92" s="25">
        <f>Dimensions!$D$37*J92</f>
        <v>4512.864818945538</v>
      </c>
    </row>
    <row r="93" spans="1:11" ht="10.5">
      <c r="A93" s="34">
        <f t="shared" si="7"/>
        <v>84</v>
      </c>
      <c r="B93" s="16"/>
      <c r="C93" s="25">
        <f t="shared" si="4"/>
        <v>4.2335999999999996E-08</v>
      </c>
      <c r="D93" s="18"/>
      <c r="E93" s="25">
        <f>Dimensions!$D$33*A93*A93*A93*0.000000000000000001</f>
        <v>9.494206896976783E-10</v>
      </c>
      <c r="F93" s="25">
        <f t="shared" si="5"/>
        <v>44.59140237767617</v>
      </c>
      <c r="G93" s="25">
        <f>Dimensions!$D$36*F93</f>
        <v>4459.140237767617</v>
      </c>
      <c r="H93" s="18"/>
      <c r="I93" s="25">
        <f>Dimensions!$D$34*A93*A93*A93*0.000000000000000001</f>
        <v>1.4241310345465178E-09</v>
      </c>
      <c r="J93" s="25">
        <f t="shared" si="6"/>
        <v>29.727601585117437</v>
      </c>
      <c r="K93" s="25">
        <f>Dimensions!$D$37*J93</f>
        <v>4459.140237767615</v>
      </c>
    </row>
    <row r="94" spans="1:11" ht="10.5">
      <c r="A94" s="34">
        <f t="shared" si="7"/>
        <v>85</v>
      </c>
      <c r="B94" s="16"/>
      <c r="C94" s="25">
        <f t="shared" si="4"/>
        <v>4.335E-08</v>
      </c>
      <c r="D94" s="18"/>
      <c r="E94" s="25">
        <f>Dimensions!$D$33*A94*A94*A94*0.000000000000000001</f>
        <v>9.837338385780877E-10</v>
      </c>
      <c r="F94" s="25">
        <f t="shared" si="5"/>
        <v>44.06679764382114</v>
      </c>
      <c r="G94" s="25">
        <f>Dimensions!$D$36*F94</f>
        <v>4406.679764382114</v>
      </c>
      <c r="H94" s="18"/>
      <c r="I94" s="25">
        <f>Dimensions!$D$34*A94*A94*A94*0.000000000000000001</f>
        <v>1.4756007578671316E-09</v>
      </c>
      <c r="J94" s="25">
        <f t="shared" si="6"/>
        <v>29.37786509588076</v>
      </c>
      <c r="K94" s="25">
        <f>Dimensions!$D$37*J94</f>
        <v>4406.679764382114</v>
      </c>
    </row>
    <row r="95" spans="1:11" ht="10.5">
      <c r="A95" s="34">
        <f t="shared" si="7"/>
        <v>86</v>
      </c>
      <c r="B95" s="16"/>
      <c r="C95" s="25">
        <f t="shared" si="4"/>
        <v>4.4376E-08</v>
      </c>
      <c r="D95" s="18"/>
      <c r="E95" s="25">
        <f>Dimensions!$D$33*A95*A95*A95*0.000000000000000001</f>
        <v>1.0188639290545477E-09</v>
      </c>
      <c r="F95" s="25">
        <f t="shared" si="5"/>
        <v>43.55439302005578</v>
      </c>
      <c r="G95" s="25">
        <f>Dimensions!$D$36*F95</f>
        <v>4355.439302005578</v>
      </c>
      <c r="H95" s="18"/>
      <c r="I95" s="25">
        <f>Dimensions!$D$34*A95*A95*A95*0.000000000000000001</f>
        <v>1.5282958935818216E-09</v>
      </c>
      <c r="J95" s="25">
        <f t="shared" si="6"/>
        <v>29.036262013370518</v>
      </c>
      <c r="K95" s="25">
        <f>Dimensions!$D$37*J95</f>
        <v>4355.439302005577</v>
      </c>
    </row>
    <row r="96" spans="1:11" ht="10.5">
      <c r="A96" s="34">
        <f t="shared" si="7"/>
        <v>87</v>
      </c>
      <c r="B96" s="16"/>
      <c r="C96" s="25">
        <f t="shared" si="4"/>
        <v>4.5414E-08</v>
      </c>
      <c r="D96" s="18"/>
      <c r="E96" s="25">
        <f>Dimensions!$D$33*A96*A96*A96*0.000000000000000001</f>
        <v>1.0548205722046594E-09</v>
      </c>
      <c r="F96" s="25">
        <f t="shared" si="5"/>
        <v>43.0537678129287</v>
      </c>
      <c r="G96" s="25">
        <f>Dimensions!$D$36*F96</f>
        <v>4305.37678129287</v>
      </c>
      <c r="H96" s="18"/>
      <c r="I96" s="25">
        <f>Dimensions!$D$34*A96*A96*A96*0.000000000000000001</f>
        <v>1.582230858306989E-09</v>
      </c>
      <c r="J96" s="25">
        <f t="shared" si="6"/>
        <v>28.7025118752858</v>
      </c>
      <c r="K96" s="25">
        <f>Dimensions!$D$37*J96</f>
        <v>4305.376781292869</v>
      </c>
    </row>
    <row r="97" spans="1:11" ht="10.5">
      <c r="A97" s="34">
        <f t="shared" si="7"/>
        <v>88</v>
      </c>
      <c r="B97" s="16"/>
      <c r="C97" s="25">
        <f t="shared" si="4"/>
        <v>4.6464E-08</v>
      </c>
      <c r="D97" s="18"/>
      <c r="E97" s="25">
        <f>Dimensions!$D$33*A97*A97*A97*0.000000000000000001</f>
        <v>1.0916133791060232E-09</v>
      </c>
      <c r="F97" s="25">
        <f t="shared" si="5"/>
        <v>42.56452045141815</v>
      </c>
      <c r="G97" s="25">
        <f>Dimensions!$D$36*F97</f>
        <v>4256.452045141815</v>
      </c>
      <c r="H97" s="18"/>
      <c r="I97" s="25">
        <f>Dimensions!$D$34*A97*A97*A97*0.000000000000000001</f>
        <v>1.6374200686590348E-09</v>
      </c>
      <c r="J97" s="25">
        <f t="shared" si="6"/>
        <v>28.3763469676121</v>
      </c>
      <c r="K97" s="25">
        <f>Dimensions!$D$37*J97</f>
        <v>4256.452045141814</v>
      </c>
    </row>
    <row r="98" spans="1:11" ht="10.5">
      <c r="A98" s="34">
        <f t="shared" si="7"/>
        <v>89</v>
      </c>
      <c r="B98" s="16"/>
      <c r="C98" s="25">
        <f t="shared" si="4"/>
        <v>4.7526E-08</v>
      </c>
      <c r="D98" s="18"/>
      <c r="E98" s="25">
        <f>Dimensions!$D$33*A98*A98*A98*0.000000000000000001</f>
        <v>1.12925196083624E-09</v>
      </c>
      <c r="F98" s="25">
        <f t="shared" si="5"/>
        <v>42.086267412638165</v>
      </c>
      <c r="G98" s="25">
        <f>Dimensions!$D$36*F98</f>
        <v>4208.626741263816</v>
      </c>
      <c r="H98" s="18"/>
      <c r="I98" s="25">
        <f>Dimensions!$D$34*A98*A98*A98*0.000000000000000001</f>
        <v>1.69387794125436E-09</v>
      </c>
      <c r="J98" s="25">
        <f t="shared" si="6"/>
        <v>28.057511608425447</v>
      </c>
      <c r="K98" s="25">
        <f>Dimensions!$D$37*J98</f>
        <v>4208.626741263816</v>
      </c>
    </row>
    <row r="99" spans="1:11" ht="10.5">
      <c r="A99" s="34">
        <f t="shared" si="7"/>
        <v>90</v>
      </c>
      <c r="B99" s="16"/>
      <c r="C99" s="25">
        <f t="shared" si="4"/>
        <v>4.86E-08</v>
      </c>
      <c r="D99" s="18"/>
      <c r="E99" s="25">
        <f>Dimensions!$D$33*A99*A99*A99*0.000000000000000001</f>
        <v>1.16774592847291E-09</v>
      </c>
      <c r="F99" s="25">
        <f t="shared" si="5"/>
        <v>41.618642219164414</v>
      </c>
      <c r="G99" s="25">
        <f>Dimensions!$D$36*F99</f>
        <v>4161.864221916441</v>
      </c>
      <c r="H99" s="18"/>
      <c r="I99" s="25">
        <f>Dimensions!$D$34*A99*A99*A99*0.000000000000000001</f>
        <v>1.751618892709365E-09</v>
      </c>
      <c r="J99" s="25">
        <f t="shared" si="6"/>
        <v>27.745761479442944</v>
      </c>
      <c r="K99" s="25">
        <f>Dimensions!$D$37*J99</f>
        <v>4161.864221916441</v>
      </c>
    </row>
    <row r="100" spans="1:11" ht="10.5">
      <c r="A100" s="34">
        <f t="shared" si="7"/>
        <v>91</v>
      </c>
      <c r="B100" s="16"/>
      <c r="C100" s="25">
        <f t="shared" si="4"/>
        <v>4.9686E-08</v>
      </c>
      <c r="D100" s="18"/>
      <c r="E100" s="25">
        <f>Dimensions!$D$33*A100*A100*A100*0.000000000000000001</f>
        <v>1.2071048930936342E-09</v>
      </c>
      <c r="F100" s="25">
        <f t="shared" si="5"/>
        <v>41.1612945024703</v>
      </c>
      <c r="G100" s="25">
        <f>Dimensions!$D$36*F100</f>
        <v>4116.12945024703</v>
      </c>
      <c r="H100" s="18"/>
      <c r="I100" s="25">
        <f>Dimensions!$D$34*A100*A100*A100*0.000000000000000001</f>
        <v>1.810657339640451E-09</v>
      </c>
      <c r="J100" s="25">
        <f t="shared" si="6"/>
        <v>27.440863001646868</v>
      </c>
      <c r="K100" s="25">
        <f>Dimensions!$D$37*J100</f>
        <v>4116.129450247029</v>
      </c>
    </row>
    <row r="101" spans="1:11" ht="10.5">
      <c r="A101" s="34">
        <f t="shared" si="7"/>
        <v>92</v>
      </c>
      <c r="B101" s="16"/>
      <c r="C101" s="25">
        <f t="shared" si="4"/>
        <v>5.0784E-08</v>
      </c>
      <c r="D101" s="18"/>
      <c r="E101" s="25">
        <f>Dimensions!$D$33*A101*A101*A101*0.000000000000000001</f>
        <v>1.247338465776013E-09</v>
      </c>
      <c r="F101" s="25">
        <f t="shared" si="5"/>
        <v>40.713889127443444</v>
      </c>
      <c r="G101" s="25">
        <f>Dimensions!$D$36*F101</f>
        <v>4071.3889127443445</v>
      </c>
      <c r="H101" s="18"/>
      <c r="I101" s="25">
        <f>Dimensions!$D$34*A101*A101*A101*0.000000000000000001</f>
        <v>1.871007698664019E-09</v>
      </c>
      <c r="J101" s="25">
        <f t="shared" si="6"/>
        <v>27.142592751628968</v>
      </c>
      <c r="K101" s="25">
        <f>Dimensions!$D$37*J101</f>
        <v>4071.3889127443445</v>
      </c>
    </row>
    <row r="102" spans="1:11" ht="10.5">
      <c r="A102" s="34">
        <f t="shared" si="7"/>
        <v>93</v>
      </c>
      <c r="B102" s="16"/>
      <c r="C102" s="25">
        <f t="shared" si="4"/>
        <v>5.1894E-08</v>
      </c>
      <c r="D102" s="18"/>
      <c r="E102" s="25">
        <f>Dimensions!$D$33*A102*A102*A102*0.000000000000000001</f>
        <v>1.2884562575976466E-09</v>
      </c>
      <c r="F102" s="25">
        <f t="shared" si="5"/>
        <v>40.27610537338492</v>
      </c>
      <c r="G102" s="25">
        <f>Dimensions!$D$36*F102</f>
        <v>4027.610537338492</v>
      </c>
      <c r="H102" s="18"/>
      <c r="I102" s="25">
        <f>Dimensions!$D$34*A102*A102*A102*0.000000000000000001</f>
        <v>1.9326843863964703E-09</v>
      </c>
      <c r="J102" s="25">
        <f t="shared" si="6"/>
        <v>26.85073691558994</v>
      </c>
      <c r="K102" s="25">
        <f>Dimensions!$D$37*J102</f>
        <v>4027.6105373384903</v>
      </c>
    </row>
    <row r="103" spans="1:11" ht="10.5">
      <c r="A103" s="34">
        <f t="shared" si="7"/>
        <v>94</v>
      </c>
      <c r="B103" s="16"/>
      <c r="C103" s="25">
        <f t="shared" si="4"/>
        <v>5.3015999999999996E-08</v>
      </c>
      <c r="D103" s="18"/>
      <c r="E103" s="25">
        <f>Dimensions!$D$33*A103*A103*A103*0.000000000000000001</f>
        <v>1.3304678796361366E-09</v>
      </c>
      <c r="F103" s="25">
        <f t="shared" si="5"/>
        <v>39.84763616728507</v>
      </c>
      <c r="G103" s="25">
        <f>Dimensions!$D$36*F103</f>
        <v>3984.763616728507</v>
      </c>
      <c r="H103" s="18"/>
      <c r="I103" s="25">
        <f>Dimensions!$D$34*A103*A103*A103*0.000000000000000001</f>
        <v>1.9957018194542046E-09</v>
      </c>
      <c r="J103" s="25">
        <f t="shared" si="6"/>
        <v>26.56509077819005</v>
      </c>
      <c r="K103" s="25">
        <f>Dimensions!$D$37*J103</f>
        <v>3984.763616728507</v>
      </c>
    </row>
    <row r="104" spans="1:11" ht="10.5">
      <c r="A104" s="34">
        <f t="shared" si="7"/>
        <v>95</v>
      </c>
      <c r="B104" s="16"/>
      <c r="C104" s="25">
        <f t="shared" si="4"/>
        <v>5.415E-08</v>
      </c>
      <c r="D104" s="18"/>
      <c r="E104" s="25">
        <f>Dimensions!$D$33*A104*A104*A104*0.000000000000000001</f>
        <v>1.3733829429690826E-09</v>
      </c>
      <c r="F104" s="25">
        <f t="shared" si="5"/>
        <v>39.42818736552418</v>
      </c>
      <c r="G104" s="25">
        <f>Dimensions!$D$36*F104</f>
        <v>3942.818736552418</v>
      </c>
      <c r="H104" s="18"/>
      <c r="I104" s="25">
        <f>Dimensions!$D$34*A104*A104*A104*0.000000000000000001</f>
        <v>2.060074414453624E-09</v>
      </c>
      <c r="J104" s="25">
        <f t="shared" si="6"/>
        <v>26.285458243682786</v>
      </c>
      <c r="K104" s="25">
        <f>Dimensions!$D$37*J104</f>
        <v>3942.8187365524172</v>
      </c>
    </row>
    <row r="105" spans="1:11" ht="10.5">
      <c r="A105" s="34">
        <f t="shared" si="7"/>
        <v>96</v>
      </c>
      <c r="B105" s="16"/>
      <c r="C105" s="25">
        <f t="shared" si="4"/>
        <v>5.5296E-08</v>
      </c>
      <c r="D105" s="18"/>
      <c r="E105" s="25">
        <f>Dimensions!$D$33*A105*A105*A105*0.000000000000000001</f>
        <v>1.4172110586740858E-09</v>
      </c>
      <c r="F105" s="25">
        <f t="shared" si="5"/>
        <v>39.017477080466634</v>
      </c>
      <c r="G105" s="25">
        <f>Dimensions!$D$36*F105</f>
        <v>3901.7477080466633</v>
      </c>
      <c r="H105" s="18"/>
      <c r="I105" s="25">
        <f>Dimensions!$D$34*A105*A105*A105*0.000000000000000001</f>
        <v>2.1258165880111285E-09</v>
      </c>
      <c r="J105" s="25">
        <f t="shared" si="6"/>
        <v>26.01165138697776</v>
      </c>
      <c r="K105" s="25">
        <f>Dimensions!$D$37*J105</f>
        <v>3901.7477080466633</v>
      </c>
    </row>
    <row r="106" spans="1:13" ht="10.5">
      <c r="A106" s="34">
        <f t="shared" si="7"/>
        <v>97</v>
      </c>
      <c r="B106" s="16"/>
      <c r="C106" s="25">
        <f t="shared" si="4"/>
        <v>5.6454E-08</v>
      </c>
      <c r="D106" s="18"/>
      <c r="E106" s="25">
        <f>Dimensions!$D$33*A106*A106*A106*0.000000000000000001</f>
        <v>1.4619618378287463E-09</v>
      </c>
      <c r="F106" s="25">
        <f t="shared" si="5"/>
        <v>38.61523504870925</v>
      </c>
      <c r="G106" s="25">
        <f>Dimensions!$D$36*F106</f>
        <v>3861.523504870925</v>
      </c>
      <c r="H106" s="18"/>
      <c r="I106" s="25">
        <f>Dimensions!$D$34*A106*A106*A106*0.000000000000000001</f>
        <v>2.19294275674312E-09</v>
      </c>
      <c r="J106" s="25">
        <f t="shared" si="6"/>
        <v>25.74349003247283</v>
      </c>
      <c r="K106" s="25">
        <f>Dimensions!$D$37*J106</f>
        <v>3861.5235048709237</v>
      </c>
      <c r="M106" s="45"/>
    </row>
    <row r="107" spans="1:11" ht="10.5">
      <c r="A107" s="34">
        <f t="shared" si="7"/>
        <v>98</v>
      </c>
      <c r="B107" s="16"/>
      <c r="C107" s="25">
        <f t="shared" si="4"/>
        <v>5.7624E-08</v>
      </c>
      <c r="D107" s="18"/>
      <c r="E107" s="25">
        <f>Dimensions!$D$33*A107*A107*A107*0.000000000000000001</f>
        <v>1.5076448915106655E-09</v>
      </c>
      <c r="F107" s="25">
        <f t="shared" si="5"/>
        <v>38.22120203800814</v>
      </c>
      <c r="G107" s="25">
        <f>Dimensions!$D$36*F107</f>
        <v>3822.1202038008137</v>
      </c>
      <c r="H107" s="18"/>
      <c r="I107" s="25">
        <f>Dimensions!$D$34*A107*A107*A107*0.000000000000000001</f>
        <v>2.261467337265998E-09</v>
      </c>
      <c r="J107" s="25">
        <f t="shared" si="6"/>
        <v>25.480801358672093</v>
      </c>
      <c r="K107" s="25">
        <f>Dimensions!$D$37*J107</f>
        <v>3822.120203800813</v>
      </c>
    </row>
    <row r="108" spans="1:11" ht="10.5">
      <c r="A108" s="34">
        <f t="shared" si="7"/>
        <v>99</v>
      </c>
      <c r="B108" s="16"/>
      <c r="C108" s="25">
        <f t="shared" si="4"/>
        <v>5.8806E-08</v>
      </c>
      <c r="D108" s="18"/>
      <c r="E108" s="25">
        <f>Dimensions!$D$33*A108*A108*A108*0.000000000000000001</f>
        <v>1.5542698307974436E-09</v>
      </c>
      <c r="F108" s="25">
        <f t="shared" si="5"/>
        <v>37.83512929014945</v>
      </c>
      <c r="G108" s="25">
        <f>Dimensions!$D$36*F108</f>
        <v>3783.5129290149453</v>
      </c>
      <c r="H108" s="18"/>
      <c r="I108" s="25">
        <f>Dimensions!$D$34*A108*A108*A108*0.000000000000000001</f>
        <v>2.3314047461961648E-09</v>
      </c>
      <c r="J108" s="25">
        <f t="shared" si="6"/>
        <v>25.22341952676631</v>
      </c>
      <c r="K108" s="25">
        <f>Dimensions!$D$37*J108</f>
        <v>3783.5129290149457</v>
      </c>
    </row>
    <row r="109" spans="1:11" ht="10.5">
      <c r="A109" s="13">
        <f t="shared" si="7"/>
        <v>100</v>
      </c>
      <c r="B109" s="13"/>
      <c r="C109" s="15">
        <f t="shared" si="4"/>
        <v>6E-08</v>
      </c>
      <c r="D109" s="15"/>
      <c r="E109" s="15">
        <f>Dimensions!$D$33*A109*A109*A109*0.000000000000000001</f>
        <v>1.6018462667666806E-09</v>
      </c>
      <c r="F109" s="15">
        <f t="shared" si="5"/>
        <v>37.45677799724796</v>
      </c>
      <c r="G109" s="15">
        <f>Dimensions!$D$36*F109</f>
        <v>3745.677799724796</v>
      </c>
      <c r="H109" s="15"/>
      <c r="I109" s="15">
        <f>Dimensions!$D$34*A109*A109*A109*0.000000000000000001</f>
        <v>2.402769400150021E-09</v>
      </c>
      <c r="J109" s="15">
        <f t="shared" si="6"/>
        <v>24.971185331498642</v>
      </c>
      <c r="K109" s="15">
        <f>Dimensions!$D$37*J109</f>
        <v>3745.6777997247955</v>
      </c>
    </row>
    <row r="110" spans="1:11" ht="10.5">
      <c r="A110" s="34">
        <f t="shared" si="7"/>
        <v>101</v>
      </c>
      <c r="B110" s="16"/>
      <c r="C110" s="25">
        <f t="shared" si="4"/>
        <v>6.1206E-08</v>
      </c>
      <c r="D110" s="18"/>
      <c r="E110" s="25">
        <f>Dimensions!$D$33*A110*A110*A110*0.000000000000000001</f>
        <v>1.6503838104959778E-09</v>
      </c>
      <c r="F110" s="25">
        <f t="shared" si="5"/>
        <v>37.085918809156404</v>
      </c>
      <c r="G110" s="25">
        <f>Dimensions!$D$36*F110</f>
        <v>3708.5918809156406</v>
      </c>
      <c r="H110" s="18"/>
      <c r="I110" s="25">
        <f>Dimensions!$D$34*A110*A110*A110*0.000000000000000001</f>
        <v>2.475575715743966E-09</v>
      </c>
      <c r="J110" s="25">
        <f t="shared" si="6"/>
        <v>24.72394587277094</v>
      </c>
      <c r="K110" s="25">
        <f>Dimensions!$D$37*J110</f>
        <v>3708.5918809156406</v>
      </c>
    </row>
    <row r="111" spans="1:11" ht="10.5">
      <c r="A111" s="34">
        <f t="shared" si="7"/>
        <v>102</v>
      </c>
      <c r="B111" s="16"/>
      <c r="C111" s="25">
        <f t="shared" si="4"/>
        <v>6.2424E-08</v>
      </c>
      <c r="D111" s="18"/>
      <c r="E111" s="25">
        <f>Dimensions!$D$33*A111*A111*A111*0.000000000000000001</f>
        <v>1.6998920730629358E-09</v>
      </c>
      <c r="F111" s="25">
        <f t="shared" si="5"/>
        <v>36.72233136985095</v>
      </c>
      <c r="G111" s="25">
        <f>Dimensions!$D$36*F111</f>
        <v>3672.233136985095</v>
      </c>
      <c r="H111" s="18"/>
      <c r="I111" s="25">
        <f>Dimensions!$D$34*A111*A111*A111*0.000000000000000001</f>
        <v>2.549838109594403E-09</v>
      </c>
      <c r="J111" s="25">
        <f t="shared" si="6"/>
        <v>24.481554246567303</v>
      </c>
      <c r="K111" s="25">
        <f>Dimensions!$D$37*J111</f>
        <v>3672.233136985095</v>
      </c>
    </row>
    <row r="112" spans="1:11" ht="10.5">
      <c r="A112" s="34">
        <f t="shared" si="7"/>
        <v>103</v>
      </c>
      <c r="B112" s="16"/>
      <c r="C112" s="25">
        <f t="shared" si="4"/>
        <v>6.3654E-08</v>
      </c>
      <c r="D112" s="18"/>
      <c r="E112" s="25">
        <f>Dimensions!$D$33*A112*A112*A112*0.000000000000000001</f>
        <v>1.7503806655451543E-09</v>
      </c>
      <c r="F112" s="25">
        <f t="shared" si="5"/>
        <v>36.36580388082327</v>
      </c>
      <c r="G112" s="25">
        <f>Dimensions!$D$36*F112</f>
        <v>3636.5803880823273</v>
      </c>
      <c r="H112" s="18"/>
      <c r="I112" s="25">
        <f>Dimensions!$D$34*A112*A112*A112*0.000000000000000001</f>
        <v>2.6255709983177317E-09</v>
      </c>
      <c r="J112" s="25">
        <f t="shared" si="6"/>
        <v>24.243869253882178</v>
      </c>
      <c r="K112" s="25">
        <f>Dimensions!$D$37*J112</f>
        <v>3636.580388082326</v>
      </c>
    </row>
    <row r="113" spans="1:11" ht="10.5">
      <c r="A113" s="34">
        <f t="shared" si="7"/>
        <v>104</v>
      </c>
      <c r="B113" s="16"/>
      <c r="C113" s="25">
        <f t="shared" si="4"/>
        <v>6.4896E-08</v>
      </c>
      <c r="D113" s="18"/>
      <c r="E113" s="25">
        <f>Dimensions!$D$33*A113*A113*A113*0.000000000000000001</f>
        <v>1.8018591990202353E-09</v>
      </c>
      <c r="F113" s="25">
        <f t="shared" si="5"/>
        <v>36.01613268966151</v>
      </c>
      <c r="G113" s="25">
        <f>Dimensions!$D$36*F113</f>
        <v>3601.6132689661513</v>
      </c>
      <c r="H113" s="18"/>
      <c r="I113" s="25">
        <f>Dimensions!$D$34*A113*A113*A113*0.000000000000000001</f>
        <v>2.7027887985303527E-09</v>
      </c>
      <c r="J113" s="25">
        <f t="shared" si="6"/>
        <v>24.01075512644101</v>
      </c>
      <c r="K113" s="25">
        <f>Dimensions!$D$37*J113</f>
        <v>3601.6132689661504</v>
      </c>
    </row>
    <row r="114" spans="1:11" ht="10.5">
      <c r="A114" s="34">
        <f t="shared" si="7"/>
        <v>105</v>
      </c>
      <c r="B114" s="16"/>
      <c r="C114" s="25">
        <f t="shared" si="4"/>
        <v>6.615E-08</v>
      </c>
      <c r="D114" s="18"/>
      <c r="E114" s="25">
        <f>Dimensions!$D$33*A114*A114*A114*0.000000000000000001</f>
        <v>1.8543372845657786E-09</v>
      </c>
      <c r="F114" s="25">
        <f t="shared" si="5"/>
        <v>35.67312190214092</v>
      </c>
      <c r="G114" s="25">
        <f>Dimensions!$D$36*F114</f>
        <v>3567.312190214092</v>
      </c>
      <c r="H114" s="18"/>
      <c r="I114" s="25">
        <f>Dimensions!$D$34*A114*A114*A114*0.000000000000000001</f>
        <v>2.7815059268486674E-09</v>
      </c>
      <c r="J114" s="25">
        <f t="shared" si="6"/>
        <v>23.78208126809395</v>
      </c>
      <c r="K114" s="25">
        <f>Dimensions!$D$37*J114</f>
        <v>3567.312190214092</v>
      </c>
    </row>
    <row r="115" spans="1:11" ht="10.5">
      <c r="A115" s="34">
        <f t="shared" si="7"/>
        <v>106</v>
      </c>
      <c r="B115" s="16"/>
      <c r="C115" s="25">
        <f t="shared" si="4"/>
        <v>6.7416E-08</v>
      </c>
      <c r="D115" s="18"/>
      <c r="E115" s="25">
        <f>Dimensions!$D$33*A115*A115*A115*0.000000000000000001</f>
        <v>1.9078245332593847E-09</v>
      </c>
      <c r="F115" s="25">
        <f t="shared" si="5"/>
        <v>35.33658301627167</v>
      </c>
      <c r="G115" s="25">
        <f>Dimensions!$D$36*F115</f>
        <v>3533.6583016271666</v>
      </c>
      <c r="H115" s="18"/>
      <c r="I115" s="25">
        <f>Dimensions!$D$34*A115*A115*A115*0.000000000000000001</f>
        <v>2.861736799889077E-09</v>
      </c>
      <c r="J115" s="25">
        <f t="shared" si="6"/>
        <v>23.55772201084778</v>
      </c>
      <c r="K115" s="25">
        <f>Dimensions!$D$37*J115</f>
        <v>3533.658301627166</v>
      </c>
    </row>
    <row r="116" spans="1:11" ht="10.5">
      <c r="A116" s="34">
        <f t="shared" si="7"/>
        <v>107</v>
      </c>
      <c r="B116" s="16"/>
      <c r="C116" s="25">
        <f t="shared" si="4"/>
        <v>6.869399999999999E-08</v>
      </c>
      <c r="D116" s="18"/>
      <c r="E116" s="25">
        <f>Dimensions!$D$33*A116*A116*A116*0.000000000000000001</f>
        <v>1.9623305561786545E-09</v>
      </c>
      <c r="F116" s="25">
        <f t="shared" si="5"/>
        <v>35.00633457686726</v>
      </c>
      <c r="G116" s="25">
        <f>Dimensions!$D$36*F116</f>
        <v>3500.633457686726</v>
      </c>
      <c r="H116" s="18"/>
      <c r="I116" s="25">
        <f>Dimensions!$D$34*A116*A116*A116*0.000000000000000001</f>
        <v>2.9434958342679817E-09</v>
      </c>
      <c r="J116" s="25">
        <f t="shared" si="6"/>
        <v>23.33755638457817</v>
      </c>
      <c r="K116" s="25">
        <f>Dimensions!$D$37*J116</f>
        <v>3500.6334576867253</v>
      </c>
    </row>
    <row r="117" spans="1:11" ht="10.5">
      <c r="A117" s="34">
        <f t="shared" si="7"/>
        <v>108</v>
      </c>
      <c r="B117" s="16"/>
      <c r="C117" s="25">
        <f t="shared" si="4"/>
        <v>6.9984E-08</v>
      </c>
      <c r="D117" s="18"/>
      <c r="E117" s="25">
        <f>Dimensions!$D$33*A117*A117*A117*0.000000000000000001</f>
        <v>2.0178649644011886E-09</v>
      </c>
      <c r="F117" s="25">
        <f t="shared" si="5"/>
        <v>34.682201849303674</v>
      </c>
      <c r="G117" s="25">
        <f>Dimensions!$D$36*F117</f>
        <v>3468.2201849303674</v>
      </c>
      <c r="H117" s="18"/>
      <c r="I117" s="25">
        <f>Dimensions!$D$34*A117*A117*A117*0.000000000000000001</f>
        <v>3.0267974466017823E-09</v>
      </c>
      <c r="J117" s="25">
        <f t="shared" si="6"/>
        <v>23.121467899535787</v>
      </c>
      <c r="K117" s="25">
        <f>Dimensions!$D$37*J117</f>
        <v>3468.2201849303674</v>
      </c>
    </row>
    <row r="118" spans="1:11" ht="10.5">
      <c r="A118" s="34">
        <f t="shared" si="7"/>
        <v>109</v>
      </c>
      <c r="B118" s="16"/>
      <c r="C118" s="25">
        <f t="shared" si="4"/>
        <v>7.1286E-08</v>
      </c>
      <c r="D118" s="18"/>
      <c r="E118" s="25">
        <f>Dimensions!$D$33*A118*A118*A118*0.000000000000000001</f>
        <v>2.0744373690045876E-09</v>
      </c>
      <c r="F118" s="25">
        <f t="shared" si="5"/>
        <v>34.36401651123666</v>
      </c>
      <c r="G118" s="25">
        <f>Dimensions!$D$36*F118</f>
        <v>3436.4016511236664</v>
      </c>
      <c r="H118" s="18"/>
      <c r="I118" s="25">
        <f>Dimensions!$D$34*A118*A118*A118*0.000000000000000001</f>
        <v>3.111656053506881E-09</v>
      </c>
      <c r="J118" s="25">
        <f t="shared" si="6"/>
        <v>22.909344340824447</v>
      </c>
      <c r="K118" s="25">
        <f>Dimensions!$D$37*J118</f>
        <v>3436.4016511236664</v>
      </c>
    </row>
    <row r="119" spans="1:11" ht="10.5">
      <c r="A119" s="34">
        <f t="shared" si="7"/>
        <v>110</v>
      </c>
      <c r="B119" s="16"/>
      <c r="C119" s="25">
        <f t="shared" si="4"/>
        <v>7.26E-08</v>
      </c>
      <c r="D119" s="18"/>
      <c r="E119" s="25">
        <f>Dimensions!$D$33*A119*A119*A119*0.000000000000000001</f>
        <v>2.132057381066452E-09</v>
      </c>
      <c r="F119" s="25">
        <f t="shared" si="5"/>
        <v>34.05161636113452</v>
      </c>
      <c r="G119" s="25">
        <f>Dimensions!$D$36*F119</f>
        <v>3405.161636113452</v>
      </c>
      <c r="H119" s="18"/>
      <c r="I119" s="25">
        <f>Dimensions!$D$34*A119*A119*A119*0.000000000000000001</f>
        <v>3.1980860715996773E-09</v>
      </c>
      <c r="J119" s="25">
        <f t="shared" si="6"/>
        <v>22.70107757408968</v>
      </c>
      <c r="K119" s="25">
        <f>Dimensions!$D$37*J119</f>
        <v>3405.1616361134516</v>
      </c>
    </row>
    <row r="120" spans="1:11" ht="10.5">
      <c r="A120" s="34">
        <f t="shared" si="7"/>
        <v>111</v>
      </c>
      <c r="B120" s="16"/>
      <c r="C120" s="25">
        <f t="shared" si="4"/>
        <v>7.3926E-08</v>
      </c>
      <c r="D120" s="18"/>
      <c r="E120" s="25">
        <f>Dimensions!$D$33*A120*A120*A120*0.000000000000000001</f>
        <v>2.190734611664382E-09</v>
      </c>
      <c r="F120" s="25">
        <f t="shared" si="5"/>
        <v>33.744845042565736</v>
      </c>
      <c r="G120" s="25">
        <f>Dimensions!$D$36*F120</f>
        <v>3374.4845042565735</v>
      </c>
      <c r="H120" s="18"/>
      <c r="I120" s="25">
        <f>Dimensions!$D$34*A120*A120*A120*0.000000000000000001</f>
        <v>3.286101917496572E-09</v>
      </c>
      <c r="J120" s="25">
        <f t="shared" si="6"/>
        <v>22.496563361710496</v>
      </c>
      <c r="K120" s="25">
        <f>Dimensions!$D$37*J120</f>
        <v>3374.484504256574</v>
      </c>
    </row>
    <row r="121" spans="1:11" ht="10.5">
      <c r="A121" s="34">
        <f t="shared" si="7"/>
        <v>112</v>
      </c>
      <c r="B121" s="16"/>
      <c r="C121" s="25">
        <f t="shared" si="4"/>
        <v>7.5264E-08</v>
      </c>
      <c r="D121" s="18"/>
      <c r="E121" s="25">
        <f>Dimensions!$D$33*A121*A121*A121*0.000000000000000001</f>
        <v>2.250478671875979E-09</v>
      </c>
      <c r="F121" s="25">
        <f t="shared" si="5"/>
        <v>33.443551783257114</v>
      </c>
      <c r="G121" s="25">
        <f>Dimensions!$D$36*F121</f>
        <v>3344.355178325711</v>
      </c>
      <c r="H121" s="18"/>
      <c r="I121" s="25">
        <f>Dimensions!$D$34*A121*A121*A121*0.000000000000000001</f>
        <v>3.375718007813968E-09</v>
      </c>
      <c r="J121" s="25">
        <f t="shared" si="6"/>
        <v>22.29570118883808</v>
      </c>
      <c r="K121" s="25">
        <f>Dimensions!$D$37*J121</f>
        <v>3344.355178325711</v>
      </c>
    </row>
    <row r="122" spans="1:11" ht="10.5">
      <c r="A122" s="34">
        <f t="shared" si="7"/>
        <v>113</v>
      </c>
      <c r="B122" s="16"/>
      <c r="C122" s="25">
        <f t="shared" si="4"/>
        <v>7.6614E-08</v>
      </c>
      <c r="D122" s="18"/>
      <c r="E122" s="25">
        <f>Dimensions!$D$33*A122*A122*A122*0.000000000000000001</f>
        <v>2.3112991727788433E-09</v>
      </c>
      <c r="F122" s="25">
        <f t="shared" si="5"/>
        <v>33.14759114800705</v>
      </c>
      <c r="G122" s="25">
        <f>Dimensions!$D$36*F122</f>
        <v>3314.759114800705</v>
      </c>
      <c r="H122" s="18"/>
      <c r="I122" s="25">
        <f>Dimensions!$D$34*A122*A122*A122*0.000000000000000001</f>
        <v>3.4669487591682647E-09</v>
      </c>
      <c r="J122" s="25">
        <f t="shared" si="6"/>
        <v>22.098394098671367</v>
      </c>
      <c r="K122" s="25">
        <f>Dimensions!$D$37*J122</f>
        <v>3314.7591148007045</v>
      </c>
    </row>
    <row r="123" spans="1:11" ht="10.5">
      <c r="A123" s="34">
        <f t="shared" si="7"/>
        <v>114</v>
      </c>
      <c r="B123" s="16"/>
      <c r="C123" s="25">
        <f t="shared" si="4"/>
        <v>7.7976E-08</v>
      </c>
      <c r="D123" s="18"/>
      <c r="E123" s="25">
        <f>Dimensions!$D$33*A123*A123*A123*0.000000000000000001</f>
        <v>2.373205725450575E-09</v>
      </c>
      <c r="F123" s="25">
        <f t="shared" si="5"/>
        <v>32.85682280460348</v>
      </c>
      <c r="G123" s="25">
        <f>Dimensions!$D$36*F123</f>
        <v>3285.682280460348</v>
      </c>
      <c r="H123" s="18"/>
      <c r="I123" s="25">
        <f>Dimensions!$D$34*A123*A123*A123*0.000000000000000001</f>
        <v>3.559808588175862E-09</v>
      </c>
      <c r="J123" s="25">
        <f t="shared" si="6"/>
        <v>21.904548536402324</v>
      </c>
      <c r="K123" s="25">
        <f>Dimensions!$D$37*J123</f>
        <v>3285.682280460348</v>
      </c>
    </row>
    <row r="124" spans="1:11" ht="10.5">
      <c r="A124" s="34">
        <f t="shared" si="7"/>
        <v>115</v>
      </c>
      <c r="B124" s="16"/>
      <c r="C124" s="25">
        <f t="shared" si="4"/>
        <v>7.934999999999999E-08</v>
      </c>
      <c r="D124" s="18"/>
      <c r="E124" s="25">
        <f>Dimensions!$D$33*A124*A124*A124*0.000000000000000001</f>
        <v>2.436207940968775E-09</v>
      </c>
      <c r="F124" s="25">
        <f t="shared" si="5"/>
        <v>32.57111130195476</v>
      </c>
      <c r="G124" s="25">
        <f>Dimensions!$D$36*F124</f>
        <v>3257.1111301954757</v>
      </c>
      <c r="H124" s="18"/>
      <c r="I124" s="25">
        <f>Dimensions!$D$34*A124*A124*A124*0.000000000000000001</f>
        <v>3.654311911453162E-09</v>
      </c>
      <c r="J124" s="25">
        <f t="shared" si="6"/>
        <v>21.714074201303173</v>
      </c>
      <c r="K124" s="25">
        <f>Dimensions!$D$37*J124</f>
        <v>3257.111130195475</v>
      </c>
    </row>
    <row r="125" spans="1:11" ht="10.5">
      <c r="A125" s="34">
        <f t="shared" si="7"/>
        <v>116</v>
      </c>
      <c r="B125" s="16"/>
      <c r="C125" s="25">
        <f t="shared" si="4"/>
        <v>8.0736E-08</v>
      </c>
      <c r="D125" s="18"/>
      <c r="E125" s="25">
        <f>Dimensions!$D$33*A125*A125*A125*0.000000000000000001</f>
        <v>2.5003154304110443E-09</v>
      </c>
      <c r="F125" s="25">
        <f t="shared" si="5"/>
        <v>32.29032585969653</v>
      </c>
      <c r="G125" s="25">
        <f>Dimensions!$D$36*F125</f>
        <v>3229.032585969653</v>
      </c>
      <c r="H125" s="18"/>
      <c r="I125" s="25">
        <f>Dimensions!$D$34*A125*A125*A125*0.000000000000000001</f>
        <v>3.750473145616566E-09</v>
      </c>
      <c r="J125" s="25">
        <f t="shared" si="6"/>
        <v>21.526883906464352</v>
      </c>
      <c r="K125" s="25">
        <f>Dimensions!$D$37*J125</f>
        <v>3229.0325859696522</v>
      </c>
    </row>
    <row r="126" spans="1:11" ht="10.5">
      <c r="A126" s="34">
        <f t="shared" si="7"/>
        <v>117</v>
      </c>
      <c r="B126" s="16"/>
      <c r="C126" s="25">
        <f t="shared" si="4"/>
        <v>8.2134E-08</v>
      </c>
      <c r="D126" s="18"/>
      <c r="E126" s="25">
        <f>Dimensions!$D$33*A126*A126*A126*0.000000000000000001</f>
        <v>2.5655378048549835E-09</v>
      </c>
      <c r="F126" s="25">
        <f t="shared" si="5"/>
        <v>32.01434016858801</v>
      </c>
      <c r="G126" s="25">
        <f>Dimensions!$D$36*F126</f>
        <v>3201.4340168588005</v>
      </c>
      <c r="H126" s="18"/>
      <c r="I126" s="25">
        <f>Dimensions!$D$34*A126*A126*A126*0.000000000000000001</f>
        <v>3.848306707282475E-09</v>
      </c>
      <c r="J126" s="25">
        <f t="shared" si="6"/>
        <v>21.34289344572534</v>
      </c>
      <c r="K126" s="25">
        <f>Dimensions!$D$37*J126</f>
        <v>3201.4340168588005</v>
      </c>
    </row>
    <row r="127" spans="1:11" ht="10.5">
      <c r="A127" s="34">
        <f t="shared" si="7"/>
        <v>118</v>
      </c>
      <c r="B127" s="16"/>
      <c r="C127" s="25">
        <f t="shared" si="4"/>
        <v>8.3544E-08</v>
      </c>
      <c r="D127" s="18"/>
      <c r="E127" s="25">
        <f>Dimensions!$D$33*A127*A127*A127*0.000000000000000001</f>
        <v>2.631884675378192E-09</v>
      </c>
      <c r="F127" s="25">
        <f t="shared" si="5"/>
        <v>31.74303220105761</v>
      </c>
      <c r="G127" s="25">
        <f>Dimensions!$D$36*F127</f>
        <v>3174.303220105761</v>
      </c>
      <c r="H127" s="18"/>
      <c r="I127" s="25">
        <f>Dimensions!$D$34*A127*A127*A127*0.000000000000000001</f>
        <v>3.947827013067288E-09</v>
      </c>
      <c r="J127" s="25">
        <f t="shared" si="6"/>
        <v>21.162021467371737</v>
      </c>
      <c r="K127" s="25">
        <f>Dimensions!$D$37*J127</f>
        <v>3174.30322010576</v>
      </c>
    </row>
    <row r="128" spans="1:11" ht="10.5">
      <c r="A128" s="34">
        <f t="shared" si="7"/>
        <v>119</v>
      </c>
      <c r="B128" s="16"/>
      <c r="C128" s="25">
        <f t="shared" si="4"/>
        <v>8.4966E-08</v>
      </c>
      <c r="D128" s="18"/>
      <c r="E128" s="25">
        <f>Dimensions!$D$33*A128*A128*A128*0.000000000000000001</f>
        <v>2.6993656530582726E-09</v>
      </c>
      <c r="F128" s="25">
        <f t="shared" si="5"/>
        <v>31.47628403130081</v>
      </c>
      <c r="G128" s="25">
        <f>Dimensions!$D$36*F128</f>
        <v>3147.628403130081</v>
      </c>
      <c r="H128" s="18"/>
      <c r="I128" s="25">
        <f>Dimensions!$D$34*A128*A128*A128*0.000000000000000001</f>
        <v>4.049048479587408E-09</v>
      </c>
      <c r="J128" s="25">
        <f t="shared" si="6"/>
        <v>20.98418935420055</v>
      </c>
      <c r="K128" s="25">
        <f>Dimensions!$D$37*J128</f>
        <v>3147.6284031300816</v>
      </c>
    </row>
    <row r="129" spans="1:11" ht="10.5">
      <c r="A129" s="34">
        <f t="shared" si="7"/>
        <v>120</v>
      </c>
      <c r="B129" s="16"/>
      <c r="C129" s="25">
        <f t="shared" si="4"/>
        <v>8.639999999999999E-08</v>
      </c>
      <c r="D129" s="18"/>
      <c r="E129" s="25">
        <f>Dimensions!$D$33*A129*A129*A129*0.000000000000000001</f>
        <v>2.7679903489728243E-09</v>
      </c>
      <c r="F129" s="25">
        <f t="shared" si="5"/>
        <v>31.2139816643733</v>
      </c>
      <c r="G129" s="25">
        <f>Dimensions!$D$36*F129</f>
        <v>3121.39816643733</v>
      </c>
      <c r="H129" s="18"/>
      <c r="I129" s="25">
        <f>Dimensions!$D$34*A129*A129*A129*0.000000000000000001</f>
        <v>4.151985523459235E-09</v>
      </c>
      <c r="J129" s="25">
        <f t="shared" si="6"/>
        <v>20.809321109582207</v>
      </c>
      <c r="K129" s="25">
        <f>Dimensions!$D$37*J129</f>
        <v>3121.3981664373305</v>
      </c>
    </row>
    <row r="130" spans="1:11" ht="10.5">
      <c r="A130" s="34">
        <f t="shared" si="7"/>
        <v>121</v>
      </c>
      <c r="B130" s="16"/>
      <c r="C130" s="25">
        <f t="shared" si="4"/>
        <v>8.7846E-08</v>
      </c>
      <c r="D130" s="18"/>
      <c r="E130" s="25">
        <f>Dimensions!$D$33*A130*A130*A130*0.000000000000000001</f>
        <v>2.837768374199447E-09</v>
      </c>
      <c r="F130" s="25">
        <f t="shared" si="5"/>
        <v>30.956014873758658</v>
      </c>
      <c r="G130" s="25">
        <f>Dimensions!$D$36*F130</f>
        <v>3095.601487375866</v>
      </c>
      <c r="H130" s="18"/>
      <c r="I130" s="25">
        <f>Dimensions!$D$34*A130*A130*A130*0.000000000000000001</f>
        <v>4.256652561299171E-09</v>
      </c>
      <c r="J130" s="25">
        <f t="shared" si="6"/>
        <v>20.637343249172435</v>
      </c>
      <c r="K130" s="25">
        <f>Dimensions!$D$37*J130</f>
        <v>3095.6014873758645</v>
      </c>
    </row>
    <row r="131" spans="1:11" ht="10.5">
      <c r="A131" s="34">
        <f t="shared" si="7"/>
        <v>122</v>
      </c>
      <c r="B131" s="16"/>
      <c r="C131" s="25">
        <f t="shared" si="4"/>
        <v>8.9304E-08</v>
      </c>
      <c r="D131" s="18"/>
      <c r="E131" s="25">
        <f>Dimensions!$D$33*A131*A131*A131*0.000000000000000001</f>
        <v>2.9087093398157434E-09</v>
      </c>
      <c r="F131" s="25">
        <f t="shared" si="5"/>
        <v>30.702277046924564</v>
      </c>
      <c r="G131" s="25">
        <f>Dimensions!$D$36*F131</f>
        <v>3070.2277046924564</v>
      </c>
      <c r="H131" s="18"/>
      <c r="I131" s="25">
        <f>Dimensions!$D$34*A131*A131*A131*0.000000000000000001</f>
        <v>4.3630640097236145E-09</v>
      </c>
      <c r="J131" s="25">
        <f t="shared" si="6"/>
        <v>20.468184697949713</v>
      </c>
      <c r="K131" s="25">
        <f>Dimensions!$D$37*J131</f>
        <v>3070.2277046924564</v>
      </c>
    </row>
    <row r="132" spans="1:11" ht="10.5">
      <c r="A132" s="34">
        <f t="shared" si="7"/>
        <v>123</v>
      </c>
      <c r="B132" s="16"/>
      <c r="C132" s="25">
        <f t="shared" si="4"/>
        <v>9.0774E-08</v>
      </c>
      <c r="D132" s="18"/>
      <c r="E132" s="25">
        <f>Dimensions!$D$33*A132*A132*A132*0.000000000000000001</f>
        <v>2.9808228568993126E-09</v>
      </c>
      <c r="F132" s="25">
        <f t="shared" si="5"/>
        <v>30.452665038412984</v>
      </c>
      <c r="G132" s="25">
        <f>Dimensions!$D$36*F132</f>
        <v>3045.2665038412983</v>
      </c>
      <c r="H132" s="18"/>
      <c r="I132" s="25">
        <f>Dimensions!$D$34*A132*A132*A132*0.000000000000000001</f>
        <v>4.471234285348968E-09</v>
      </c>
      <c r="J132" s="25">
        <f t="shared" si="6"/>
        <v>20.301776692275325</v>
      </c>
      <c r="K132" s="25">
        <f>Dimensions!$D$37*J132</f>
        <v>3045.2665038412983</v>
      </c>
    </row>
    <row r="133" spans="1:11" ht="10.5">
      <c r="A133" s="34">
        <f t="shared" si="7"/>
        <v>124</v>
      </c>
      <c r="B133" s="16"/>
      <c r="C133" s="25">
        <f t="shared" si="4"/>
        <v>9.2256E-08</v>
      </c>
      <c r="D133" s="18"/>
      <c r="E133" s="25">
        <f>Dimensions!$D$33*A133*A133*A133*0.000000000000000001</f>
        <v>3.0541185365277554E-09</v>
      </c>
      <c r="F133" s="25">
        <f t="shared" si="5"/>
        <v>30.207079030038685</v>
      </c>
      <c r="G133" s="25">
        <f>Dimensions!$D$36*F133</f>
        <v>3020.7079030038685</v>
      </c>
      <c r="H133" s="18"/>
      <c r="I133" s="25">
        <f>Dimensions!$D$34*A133*A133*A133*0.000000000000000001</f>
        <v>4.581177804791633E-09</v>
      </c>
      <c r="J133" s="25">
        <f t="shared" si="6"/>
        <v>20.138052686692458</v>
      </c>
      <c r="K133" s="25">
        <f>Dimensions!$D$37*J133</f>
        <v>3020.707903003868</v>
      </c>
    </row>
    <row r="134" spans="1:11" ht="10.5">
      <c r="A134" s="34">
        <f t="shared" si="7"/>
        <v>125</v>
      </c>
      <c r="B134" s="16"/>
      <c r="C134" s="25">
        <f t="shared" si="4"/>
        <v>9.375E-08</v>
      </c>
      <c r="D134" s="18"/>
      <c r="E134" s="25">
        <f>Dimensions!$D$33*A134*A134*A134*0.000000000000000001</f>
        <v>3.128605989778673E-09</v>
      </c>
      <c r="F134" s="25">
        <f t="shared" si="5"/>
        <v>29.965422397798374</v>
      </c>
      <c r="G134" s="25">
        <f>Dimensions!$D$36*F134</f>
        <v>2996.5422397798375</v>
      </c>
      <c r="H134" s="18"/>
      <c r="I134" s="25">
        <f>Dimensions!$D$34*A134*A134*A134*0.000000000000000001</f>
        <v>4.692908984668009E-09</v>
      </c>
      <c r="J134" s="25">
        <f t="shared" si="6"/>
        <v>19.976948265198917</v>
      </c>
      <c r="K134" s="25">
        <f>Dimensions!$D$37*J134</f>
        <v>2996.542239779837</v>
      </c>
    </row>
    <row r="135" spans="1:11" ht="10.5">
      <c r="A135" s="34">
        <f t="shared" si="7"/>
        <v>126</v>
      </c>
      <c r="B135" s="16"/>
      <c r="C135" s="25">
        <f t="shared" si="4"/>
        <v>9.5256E-08</v>
      </c>
      <c r="D135" s="18"/>
      <c r="E135" s="25">
        <f>Dimensions!$D$33*A135*A135*A135*0.000000000000000001</f>
        <v>3.2042948277296656E-09</v>
      </c>
      <c r="F135" s="25">
        <f t="shared" si="5"/>
        <v>29.727601585117434</v>
      </c>
      <c r="G135" s="25">
        <f>Dimensions!$D$36*F135</f>
        <v>2972.760158511743</v>
      </c>
      <c r="H135" s="18"/>
      <c r="I135" s="25">
        <f>Dimensions!$D$34*A135*A135*A135*0.000000000000000001</f>
        <v>4.806442241594497E-09</v>
      </c>
      <c r="J135" s="25">
        <f t="shared" si="6"/>
        <v>19.81840105674496</v>
      </c>
      <c r="K135" s="25">
        <f>Dimensions!$D$37*J135</f>
        <v>2972.7601585117436</v>
      </c>
    </row>
    <row r="136" spans="1:11" ht="10.5">
      <c r="A136" s="34">
        <f t="shared" si="7"/>
        <v>127</v>
      </c>
      <c r="B136" s="16"/>
      <c r="C136" s="25">
        <f t="shared" si="4"/>
        <v>9.6774E-08</v>
      </c>
      <c r="D136" s="18"/>
      <c r="E136" s="25">
        <f>Dimensions!$D$33*A136*A136*A136*0.000000000000000001</f>
        <v>3.281194661458333E-09</v>
      </c>
      <c r="F136" s="25">
        <f t="shared" si="5"/>
        <v>29.493525982085018</v>
      </c>
      <c r="G136" s="25">
        <f>Dimensions!$D$36*F136</f>
        <v>2949.3525982085016</v>
      </c>
      <c r="H136" s="18"/>
      <c r="I136" s="25">
        <f>Dimensions!$D$34*A136*A136*A136*0.000000000000000001</f>
        <v>4.921791992187499E-09</v>
      </c>
      <c r="J136" s="25">
        <f t="shared" si="6"/>
        <v>19.662350654723348</v>
      </c>
      <c r="K136" s="25">
        <f>Dimensions!$D$37*J136</f>
        <v>2949.3525982085016</v>
      </c>
    </row>
    <row r="137" spans="1:11" ht="10.5">
      <c r="A137" s="34">
        <f t="shared" si="7"/>
        <v>128</v>
      </c>
      <c r="B137" s="16"/>
      <c r="C137" s="25">
        <f t="shared" si="4"/>
        <v>9.8304E-08</v>
      </c>
      <c r="D137" s="18"/>
      <c r="E137" s="25">
        <f>Dimensions!$D$33*A137*A137*A137*0.000000000000000001</f>
        <v>3.3593151020422775E-09</v>
      </c>
      <c r="F137" s="25">
        <f t="shared" si="5"/>
        <v>29.26310781034998</v>
      </c>
      <c r="G137" s="25">
        <f>Dimensions!$D$36*F137</f>
        <v>2926.310781034998</v>
      </c>
      <c r="H137" s="18"/>
      <c r="I137" s="25">
        <f>Dimensions!$D$34*A137*A137*A137*0.000000000000000001</f>
        <v>5.038972653063416E-09</v>
      </c>
      <c r="J137" s="25">
        <f t="shared" si="6"/>
        <v>19.508738540233317</v>
      </c>
      <c r="K137" s="25">
        <f>Dimensions!$D$37*J137</f>
        <v>2926.310781034997</v>
      </c>
    </row>
    <row r="138" spans="1:11" ht="10.5">
      <c r="A138" s="34">
        <f t="shared" si="7"/>
        <v>129</v>
      </c>
      <c r="B138" s="16"/>
      <c r="C138" s="25">
        <f t="shared" si="4"/>
        <v>9.984599999999999E-08</v>
      </c>
      <c r="D138" s="18"/>
      <c r="E138" s="25">
        <f>Dimensions!$D$33*A138*A138*A138*0.000000000000000001</f>
        <v>3.438665760559099E-09</v>
      </c>
      <c r="F138" s="25">
        <f t="shared" si="5"/>
        <v>29.036262013370514</v>
      </c>
      <c r="G138" s="25">
        <f>Dimensions!$D$36*F138</f>
        <v>2903.6262013370515</v>
      </c>
      <c r="H138" s="18"/>
      <c r="I138" s="25">
        <f>Dimensions!$D$34*A138*A138*A138*0.000000000000000001</f>
        <v>5.157998640838648E-09</v>
      </c>
      <c r="J138" s="25">
        <f t="shared" si="6"/>
        <v>19.357508008913676</v>
      </c>
      <c r="K138" s="25">
        <f>Dimensions!$D$37*J138</f>
        <v>2903.626201337051</v>
      </c>
    </row>
    <row r="139" spans="1:11" ht="10.5">
      <c r="A139" s="34">
        <f t="shared" si="7"/>
        <v>130</v>
      </c>
      <c r="B139" s="16"/>
      <c r="C139" s="25">
        <f aca="true" t="shared" si="8" ref="C139:C202">6*A139*A139*0.000000000001</f>
        <v>1.014E-07</v>
      </c>
      <c r="D139" s="18"/>
      <c r="E139" s="25">
        <f>Dimensions!$D$33*A139*A139*A139*0.000000000000000001</f>
        <v>3.519256248086397E-09</v>
      </c>
      <c r="F139" s="25">
        <f aca="true" t="shared" si="9" ref="F139:F202">C139/E139</f>
        <v>28.81290615172921</v>
      </c>
      <c r="G139" s="25">
        <f>Dimensions!$D$36*F139</f>
        <v>2881.2906151729208</v>
      </c>
      <c r="H139" s="18"/>
      <c r="I139" s="25">
        <f>Dimensions!$D$34*A139*A139*A139*0.000000000000000001</f>
        <v>5.278884372129595E-09</v>
      </c>
      <c r="J139" s="25">
        <f aca="true" t="shared" si="10" ref="J139:J202">C139/I139</f>
        <v>19.208604101152805</v>
      </c>
      <c r="K139" s="25">
        <f>Dimensions!$D$37*J139</f>
        <v>2881.2906151729203</v>
      </c>
    </row>
    <row r="140" spans="1:11" ht="10.5">
      <c r="A140" s="34">
        <f aca="true" t="shared" si="11" ref="A140:A203">A139+1</f>
        <v>131</v>
      </c>
      <c r="B140" s="16"/>
      <c r="C140" s="25">
        <f t="shared" si="8"/>
        <v>1.02966E-07</v>
      </c>
      <c r="D140" s="18"/>
      <c r="E140" s="25">
        <f>Dimensions!$D$33*A140*A140*A140*0.000000000000000001</f>
        <v>3.6010961757017737E-09</v>
      </c>
      <c r="F140" s="25">
        <f t="shared" si="9"/>
        <v>28.592960303242723</v>
      </c>
      <c r="G140" s="25">
        <f>Dimensions!$D$36*F140</f>
        <v>2859.296030324272</v>
      </c>
      <c r="H140" s="18"/>
      <c r="I140" s="25">
        <f>Dimensions!$D$34*A140*A140*A140*0.000000000000000001</f>
        <v>5.40164426355266E-09</v>
      </c>
      <c r="J140" s="25">
        <f t="shared" si="10"/>
        <v>19.061973535495152</v>
      </c>
      <c r="K140" s="25">
        <f>Dimensions!$D$37*J140</f>
        <v>2859.296030324272</v>
      </c>
    </row>
    <row r="141" spans="1:11" ht="10.5">
      <c r="A141" s="34">
        <f t="shared" si="11"/>
        <v>132</v>
      </c>
      <c r="B141" s="16"/>
      <c r="C141" s="25">
        <f t="shared" si="8"/>
        <v>1.04544E-07</v>
      </c>
      <c r="D141" s="18"/>
      <c r="E141" s="25">
        <f>Dimensions!$D$33*A141*A141*A141*0.000000000000000001</f>
        <v>3.684195154482829E-09</v>
      </c>
      <c r="F141" s="25">
        <f t="shared" si="9"/>
        <v>28.376346967612093</v>
      </c>
      <c r="G141" s="25">
        <f>Dimensions!$D$36*F141</f>
        <v>2837.6346967612094</v>
      </c>
      <c r="H141" s="18"/>
      <c r="I141" s="25">
        <f>Dimensions!$D$34*A141*A141*A141*0.000000000000000001</f>
        <v>5.526292731724243E-09</v>
      </c>
      <c r="J141" s="25">
        <f t="shared" si="10"/>
        <v>18.917564645074734</v>
      </c>
      <c r="K141" s="25">
        <f>Dimensions!$D$37*J141</f>
        <v>2837.6346967612094</v>
      </c>
    </row>
    <row r="142" spans="1:11" ht="10.5">
      <c r="A142" s="34">
        <f t="shared" si="11"/>
        <v>133</v>
      </c>
      <c r="B142" s="16"/>
      <c r="C142" s="25">
        <f t="shared" si="8"/>
        <v>1.06134E-07</v>
      </c>
      <c r="D142" s="18"/>
      <c r="E142" s="25">
        <f>Dimensions!$D$33*A142*A142*A142*0.000000000000000001</f>
        <v>3.768562795507163E-09</v>
      </c>
      <c r="F142" s="25">
        <f t="shared" si="9"/>
        <v>28.162990975374413</v>
      </c>
      <c r="G142" s="25">
        <f>Dimensions!$D$36*F142</f>
        <v>2816.2990975374414</v>
      </c>
      <c r="H142" s="18"/>
      <c r="I142" s="25">
        <f>Dimensions!$D$34*A142*A142*A142*0.000000000000000001</f>
        <v>5.652844193260745E-09</v>
      </c>
      <c r="J142" s="25">
        <f t="shared" si="10"/>
        <v>18.775327316916275</v>
      </c>
      <c r="K142" s="25">
        <f>Dimensions!$D$37*J142</f>
        <v>2816.299097537441</v>
      </c>
    </row>
    <row r="143" spans="1:11" ht="10.5">
      <c r="A143" s="34">
        <f t="shared" si="11"/>
        <v>134</v>
      </c>
      <c r="B143" s="16"/>
      <c r="C143" s="25">
        <f t="shared" si="8"/>
        <v>1.0773599999999999E-07</v>
      </c>
      <c r="D143" s="18"/>
      <c r="E143" s="25">
        <f>Dimensions!$D$33*A143*A143*A143*0.000000000000000001</f>
        <v>3.8542087098523775E-09</v>
      </c>
      <c r="F143" s="25">
        <f t="shared" si="9"/>
        <v>27.952819400931315</v>
      </c>
      <c r="G143" s="25">
        <f>Dimensions!$D$36*F143</f>
        <v>2795.2819400931317</v>
      </c>
      <c r="H143" s="18"/>
      <c r="I143" s="25">
        <f>Dimensions!$D$34*A143*A143*A143*0.000000000000000001</f>
        <v>5.781313064778565E-09</v>
      </c>
      <c r="J143" s="25">
        <f t="shared" si="10"/>
        <v>18.635212933954215</v>
      </c>
      <c r="K143" s="25">
        <f>Dimensions!$D$37*J143</f>
        <v>2795.2819400931317</v>
      </c>
    </row>
    <row r="144" spans="1:11" ht="10.5">
      <c r="A144" s="34">
        <f t="shared" si="11"/>
        <v>135</v>
      </c>
      <c r="B144" s="16"/>
      <c r="C144" s="25">
        <f t="shared" si="8"/>
        <v>1.0935E-07</v>
      </c>
      <c r="D144" s="18"/>
      <c r="E144" s="25">
        <f>Dimensions!$D$33*A144*A144*A144*0.000000000000000001</f>
        <v>3.941142508596072E-09</v>
      </c>
      <c r="F144" s="25">
        <f t="shared" si="9"/>
        <v>27.745761479442937</v>
      </c>
      <c r="G144" s="25">
        <f>Dimensions!$D$36*F144</f>
        <v>2774.5761479442936</v>
      </c>
      <c r="H144" s="18"/>
      <c r="I144" s="25">
        <f>Dimensions!$D$34*A144*A144*A144*0.000000000000000001</f>
        <v>5.911713762894106E-09</v>
      </c>
      <c r="J144" s="25">
        <f t="shared" si="10"/>
        <v>18.49717431962863</v>
      </c>
      <c r="K144" s="25">
        <f>Dimensions!$D$37*J144</f>
        <v>2774.576147944294</v>
      </c>
    </row>
    <row r="145" spans="1:11" ht="10.5">
      <c r="A145" s="34">
        <f t="shared" si="11"/>
        <v>136</v>
      </c>
      <c r="B145" s="16"/>
      <c r="C145" s="25">
        <f t="shared" si="8"/>
        <v>1.10976E-07</v>
      </c>
      <c r="D145" s="18"/>
      <c r="E145" s="25">
        <f>Dimensions!$D$33*A145*A145*A145*0.000000000000000001</f>
        <v>4.029373802815847E-09</v>
      </c>
      <c r="F145" s="25">
        <f t="shared" si="9"/>
        <v>27.541748527388215</v>
      </c>
      <c r="G145" s="25">
        <f>Dimensions!$D$36*F145</f>
        <v>2754.1748527388213</v>
      </c>
      <c r="H145" s="18"/>
      <c r="I145" s="25">
        <f>Dimensions!$D$34*A145*A145*A145*0.000000000000000001</f>
        <v>6.044060704223771E-09</v>
      </c>
      <c r="J145" s="25">
        <f t="shared" si="10"/>
        <v>18.361165684925474</v>
      </c>
      <c r="K145" s="25">
        <f>Dimensions!$D$37*J145</f>
        <v>2754.174852738821</v>
      </c>
    </row>
    <row r="146" spans="1:11" ht="10.5">
      <c r="A146" s="34">
        <f t="shared" si="11"/>
        <v>137</v>
      </c>
      <c r="B146" s="16"/>
      <c r="C146" s="25">
        <f t="shared" si="8"/>
        <v>1.1261399999999999E-07</v>
      </c>
      <c r="D146" s="18"/>
      <c r="E146" s="25">
        <f>Dimensions!$D$33*A146*A146*A146*0.000000000000000001</f>
        <v>4.118912203589304E-09</v>
      </c>
      <c r="F146" s="25">
        <f t="shared" si="9"/>
        <v>27.340713866604354</v>
      </c>
      <c r="G146" s="25">
        <f>Dimensions!$D$36*F146</f>
        <v>2734.0713866604356</v>
      </c>
      <c r="H146" s="18"/>
      <c r="I146" s="25">
        <f>Dimensions!$D$34*A146*A146*A146*0.000000000000000001</f>
        <v>6.178368305383956E-09</v>
      </c>
      <c r="J146" s="25">
        <f t="shared" si="10"/>
        <v>18.227142577736238</v>
      </c>
      <c r="K146" s="25">
        <f>Dimensions!$D$37*J146</f>
        <v>2734.071386660435</v>
      </c>
    </row>
    <row r="147" spans="1:11" ht="10.5">
      <c r="A147" s="34">
        <f t="shared" si="11"/>
        <v>138</v>
      </c>
      <c r="B147" s="16"/>
      <c r="C147" s="25">
        <f t="shared" si="8"/>
        <v>1.14264E-07</v>
      </c>
      <c r="D147" s="18"/>
      <c r="E147" s="25">
        <f>Dimensions!$D$33*A147*A147*A147*0.000000000000000001</f>
        <v>4.209767321994044E-09</v>
      </c>
      <c r="F147" s="25">
        <f t="shared" si="9"/>
        <v>27.14259275162896</v>
      </c>
      <c r="G147" s="25">
        <f>Dimensions!$D$36*F147</f>
        <v>2714.259275162896</v>
      </c>
      <c r="H147" s="18"/>
      <c r="I147" s="25">
        <f>Dimensions!$D$34*A147*A147*A147*0.000000000000000001</f>
        <v>6.314650982991064E-09</v>
      </c>
      <c r="J147" s="25">
        <f t="shared" si="10"/>
        <v>18.09506183441931</v>
      </c>
      <c r="K147" s="25">
        <f>Dimensions!$D$37*J147</f>
        <v>2714.2592751628963</v>
      </c>
    </row>
    <row r="148" spans="1:11" ht="10.5">
      <c r="A148" s="34">
        <f t="shared" si="11"/>
        <v>139</v>
      </c>
      <c r="B148" s="16"/>
      <c r="C148" s="25">
        <f t="shared" si="8"/>
        <v>1.15926E-07</v>
      </c>
      <c r="D148" s="18"/>
      <c r="E148" s="25">
        <f>Dimensions!$D$33*A148*A148*A148*0.000000000000000001</f>
        <v>4.301948769107665E-09</v>
      </c>
      <c r="F148" s="25">
        <f t="shared" si="9"/>
        <v>26.9473223001784</v>
      </c>
      <c r="G148" s="25">
        <f>Dimensions!$D$36*F148</f>
        <v>2694.73223001784</v>
      </c>
      <c r="H148" s="18"/>
      <c r="I148" s="25">
        <f>Dimensions!$D$34*A148*A148*A148*0.000000000000000001</f>
        <v>6.452923153661498E-09</v>
      </c>
      <c r="J148" s="25">
        <f t="shared" si="10"/>
        <v>17.964881533452267</v>
      </c>
      <c r="K148" s="25">
        <f>Dimensions!$D$37*J148</f>
        <v>2694.73223001784</v>
      </c>
    </row>
    <row r="149" spans="1:11" ht="10.5">
      <c r="A149" s="34">
        <f t="shared" si="11"/>
        <v>140</v>
      </c>
      <c r="B149" s="16"/>
      <c r="C149" s="25">
        <f t="shared" si="8"/>
        <v>1.176E-07</v>
      </c>
      <c r="D149" s="18"/>
      <c r="E149" s="25">
        <f>Dimensions!$D$33*A149*A149*A149*0.000000000000000001</f>
        <v>4.395466156007771E-09</v>
      </c>
      <c r="F149" s="25">
        <f t="shared" si="9"/>
        <v>26.754841426605694</v>
      </c>
      <c r="G149" s="25">
        <f>Dimensions!$D$36*F149</f>
        <v>2675.4841426605694</v>
      </c>
      <c r="H149" s="18"/>
      <c r="I149" s="25">
        <f>Dimensions!$D$34*A149*A149*A149*0.000000000000000001</f>
        <v>6.5931992340116564E-09</v>
      </c>
      <c r="J149" s="25">
        <f t="shared" si="10"/>
        <v>17.836560951070464</v>
      </c>
      <c r="K149" s="25">
        <f>Dimensions!$D$37*J149</f>
        <v>2675.484142660569</v>
      </c>
    </row>
    <row r="150" spans="1:11" ht="10.5">
      <c r="A150" s="34">
        <f t="shared" si="11"/>
        <v>141</v>
      </c>
      <c r="B150" s="16"/>
      <c r="C150" s="25">
        <f t="shared" si="8"/>
        <v>1.19286E-07</v>
      </c>
      <c r="D150" s="18"/>
      <c r="E150" s="25">
        <f>Dimensions!$D$33*A150*A150*A150*0.000000000000000001</f>
        <v>4.490329093771961E-09</v>
      </c>
      <c r="F150" s="25">
        <f t="shared" si="9"/>
        <v>26.565090778190047</v>
      </c>
      <c r="G150" s="25">
        <f>Dimensions!$D$36*F150</f>
        <v>2656.5090778190047</v>
      </c>
      <c r="H150" s="18"/>
      <c r="I150" s="25">
        <f>Dimensions!$D$34*A150*A150*A150*0.000000000000000001</f>
        <v>6.73549364065794E-09</v>
      </c>
      <c r="J150" s="25">
        <f t="shared" si="10"/>
        <v>17.71006051879337</v>
      </c>
      <c r="K150" s="25">
        <f>Dimensions!$D$37*J150</f>
        <v>2656.509077819005</v>
      </c>
    </row>
    <row r="151" spans="1:11" ht="10.5">
      <c r="A151" s="34">
        <f t="shared" si="11"/>
        <v>142</v>
      </c>
      <c r="B151" s="16"/>
      <c r="C151" s="25">
        <f t="shared" si="8"/>
        <v>1.20984E-07</v>
      </c>
      <c r="D151" s="18"/>
      <c r="E151" s="25">
        <f>Dimensions!$D$33*A151*A151*A151*0.000000000000000001</f>
        <v>4.586547193477835E-09</v>
      </c>
      <c r="F151" s="25">
        <f t="shared" si="9"/>
        <v>26.37801267411829</v>
      </c>
      <c r="G151" s="25">
        <f>Dimensions!$D$36*F151</f>
        <v>2637.801267411829</v>
      </c>
      <c r="H151" s="18"/>
      <c r="I151" s="25">
        <f>Dimensions!$D$34*A151*A151*A151*0.000000000000000001</f>
        <v>6.8798207902167514E-09</v>
      </c>
      <c r="J151" s="25">
        <f t="shared" si="10"/>
        <v>17.585341782745527</v>
      </c>
      <c r="K151" s="25">
        <f>Dimensions!$D$37*J151</f>
        <v>2637.8012674118286</v>
      </c>
    </row>
    <row r="152" spans="1:11" ht="10.5">
      <c r="A152" s="34">
        <f t="shared" si="11"/>
        <v>143</v>
      </c>
      <c r="B152" s="16"/>
      <c r="C152" s="25">
        <f t="shared" si="8"/>
        <v>1.22694E-07</v>
      </c>
      <c r="D152" s="18"/>
      <c r="E152" s="25">
        <f>Dimensions!$D$33*A152*A152*A152*0.000000000000000001</f>
        <v>4.684130066202995E-09</v>
      </c>
      <c r="F152" s="25">
        <f t="shared" si="9"/>
        <v>26.19355104702655</v>
      </c>
      <c r="G152" s="25">
        <f>Dimensions!$D$36*F152</f>
        <v>2619.355104702655</v>
      </c>
      <c r="H152" s="18"/>
      <c r="I152" s="25">
        <f>Dimensions!$D$34*A152*A152*A152*0.000000000000000001</f>
        <v>7.0261950993044905E-09</v>
      </c>
      <c r="J152" s="25">
        <f t="shared" si="10"/>
        <v>17.462367364684372</v>
      </c>
      <c r="K152" s="25">
        <f>Dimensions!$D$37*J152</f>
        <v>2619.3551047026554</v>
      </c>
    </row>
    <row r="153" spans="1:11" ht="10.5">
      <c r="A153" s="34">
        <f t="shared" si="11"/>
        <v>144</v>
      </c>
      <c r="B153" s="16"/>
      <c r="C153" s="25">
        <f t="shared" si="8"/>
        <v>1.24416E-07</v>
      </c>
      <c r="D153" s="18"/>
      <c r="E153" s="25">
        <f>Dimensions!$D$33*A153*A153*A153*0.000000000000000001</f>
        <v>4.78308732302504E-09</v>
      </c>
      <c r="F153" s="25">
        <f t="shared" si="9"/>
        <v>26.011651386977753</v>
      </c>
      <c r="G153" s="25">
        <f>Dimensions!$D$36*F153</f>
        <v>2601.1651386977755</v>
      </c>
      <c r="H153" s="18"/>
      <c r="I153" s="25">
        <f>Dimensions!$D$34*A153*A153*A153*0.000000000000000001</f>
        <v>7.174630984537559E-09</v>
      </c>
      <c r="J153" s="25">
        <f t="shared" si="10"/>
        <v>17.34110092465184</v>
      </c>
      <c r="K153" s="25">
        <f>Dimensions!$D$37*J153</f>
        <v>2601.1651386977755</v>
      </c>
    </row>
    <row r="154" spans="1:11" ht="10.5">
      <c r="A154" s="34">
        <f t="shared" si="11"/>
        <v>145</v>
      </c>
      <c r="B154" s="16"/>
      <c r="C154" s="25">
        <f t="shared" si="8"/>
        <v>1.2615E-07</v>
      </c>
      <c r="D154" s="18"/>
      <c r="E154" s="25">
        <f>Dimensions!$D$33*A154*A154*A154*0.000000000000000001</f>
        <v>4.883428575021571E-09</v>
      </c>
      <c r="F154" s="25">
        <f t="shared" si="9"/>
        <v>25.832260687757223</v>
      </c>
      <c r="G154" s="25">
        <f>Dimensions!$D$36*F154</f>
        <v>2583.2260687757225</v>
      </c>
      <c r="H154" s="18"/>
      <c r="I154" s="25">
        <f>Dimensions!$D$34*A154*A154*A154*0.000000000000000001</f>
        <v>7.3251428625323565E-09</v>
      </c>
      <c r="J154" s="25">
        <f t="shared" si="10"/>
        <v>17.22150712517148</v>
      </c>
      <c r="K154" s="25">
        <f>Dimensions!$D$37*J154</f>
        <v>2583.2260687757216</v>
      </c>
    </row>
    <row r="155" spans="1:11" ht="10.5">
      <c r="A155" s="34">
        <f t="shared" si="11"/>
        <v>146</v>
      </c>
      <c r="B155" s="16"/>
      <c r="C155" s="25">
        <f t="shared" si="8"/>
        <v>1.27896E-07</v>
      </c>
      <c r="D155" s="18"/>
      <c r="E155" s="25">
        <f>Dimensions!$D$33*A155*A155*A155*0.000000000000000001</f>
        <v>4.985163433270191E-09</v>
      </c>
      <c r="F155" s="25">
        <f t="shared" si="9"/>
        <v>25.655327395375316</v>
      </c>
      <c r="G155" s="25">
        <f>Dimensions!$D$36*F155</f>
        <v>2565.5327395375316</v>
      </c>
      <c r="H155" s="18"/>
      <c r="I155" s="25">
        <f>Dimensions!$D$34*A155*A155*A155*0.000000000000000001</f>
        <v>7.477745149905284E-09</v>
      </c>
      <c r="J155" s="25">
        <f t="shared" si="10"/>
        <v>17.103551596916883</v>
      </c>
      <c r="K155" s="25">
        <f>Dimensions!$D$37*J155</f>
        <v>2565.532739537532</v>
      </c>
    </row>
    <row r="156" spans="1:11" ht="10.5">
      <c r="A156" s="34">
        <f t="shared" si="11"/>
        <v>147</v>
      </c>
      <c r="B156" s="16"/>
      <c r="C156" s="25">
        <f t="shared" si="8"/>
        <v>1.29654E-07</v>
      </c>
      <c r="D156" s="18"/>
      <c r="E156" s="25">
        <f>Dimensions!$D$33*A156*A156*A156*0.000000000000000001</f>
        <v>5.0883015088484966E-09</v>
      </c>
      <c r="F156" s="25">
        <f t="shared" si="9"/>
        <v>25.48080135867209</v>
      </c>
      <c r="G156" s="25">
        <f>Dimensions!$D$36*F156</f>
        <v>2548.080135867209</v>
      </c>
      <c r="H156" s="18"/>
      <c r="I156" s="25">
        <f>Dimensions!$D$34*A156*A156*A156*0.000000000000000001</f>
        <v>7.632452263272744E-09</v>
      </c>
      <c r="J156" s="25">
        <f t="shared" si="10"/>
        <v>16.987200905781393</v>
      </c>
      <c r="K156" s="25">
        <f>Dimensions!$D$37*J156</f>
        <v>2548.0801358672084</v>
      </c>
    </row>
    <row r="157" spans="1:11" ht="10.5">
      <c r="A157" s="34">
        <f t="shared" si="11"/>
        <v>148</v>
      </c>
      <c r="B157" s="16"/>
      <c r="C157" s="25">
        <f t="shared" si="8"/>
        <v>1.31424E-07</v>
      </c>
      <c r="D157" s="18"/>
      <c r="E157" s="25">
        <f>Dimensions!$D$33*A157*A157*A157*0.000000000000000001</f>
        <v>5.19285241283409E-09</v>
      </c>
      <c r="F157" s="25">
        <f t="shared" si="9"/>
        <v>25.308633781924307</v>
      </c>
      <c r="G157" s="25">
        <f>Dimensions!$D$36*F157</f>
        <v>2530.863378192431</v>
      </c>
      <c r="H157" s="18"/>
      <c r="I157" s="25">
        <f>Dimensions!$D$34*A157*A157*A157*0.000000000000000001</f>
        <v>7.789278619251134E-09</v>
      </c>
      <c r="J157" s="25">
        <f t="shared" si="10"/>
        <v>16.872422521282875</v>
      </c>
      <c r="K157" s="25">
        <f>Dimensions!$D$37*J157</f>
        <v>2530.863378192431</v>
      </c>
    </row>
    <row r="158" spans="1:11" ht="10.5">
      <c r="A158" s="34">
        <f t="shared" si="11"/>
        <v>149</v>
      </c>
      <c r="B158" s="16"/>
      <c r="C158" s="25">
        <f t="shared" si="8"/>
        <v>1.33206E-07</v>
      </c>
      <c r="D158" s="18"/>
      <c r="E158" s="25">
        <f>Dimensions!$D$33*A158*A158*A158*0.000000000000000001</f>
        <v>5.298825756304574E-09</v>
      </c>
      <c r="F158" s="25">
        <f t="shared" si="9"/>
        <v>25.138777179361057</v>
      </c>
      <c r="G158" s="25">
        <f>Dimensions!$D$36*F158</f>
        <v>2513.877717936106</v>
      </c>
      <c r="H158" s="18"/>
      <c r="I158" s="25">
        <f>Dimensions!$D$34*A158*A158*A158*0.000000000000000001</f>
        <v>7.94823863445686E-09</v>
      </c>
      <c r="J158" s="25">
        <f t="shared" si="10"/>
        <v>16.759184786240706</v>
      </c>
      <c r="K158" s="25">
        <f>Dimensions!$D$37*J158</f>
        <v>2513.8777179361055</v>
      </c>
    </row>
    <row r="159" spans="1:11" ht="10.5">
      <c r="A159" s="34">
        <f t="shared" si="11"/>
        <v>150</v>
      </c>
      <c r="B159" s="16"/>
      <c r="C159" s="25">
        <f t="shared" si="8"/>
        <v>1.35E-07</v>
      </c>
      <c r="D159" s="18"/>
      <c r="E159" s="25">
        <f>Dimensions!$D$33*A159*A159*A159*0.000000000000000001</f>
        <v>5.4062311503375466E-09</v>
      </c>
      <c r="F159" s="25">
        <f t="shared" si="9"/>
        <v>24.97118533149865</v>
      </c>
      <c r="G159" s="25">
        <f>Dimensions!$D$36*F159</f>
        <v>2497.118533149865</v>
      </c>
      <c r="H159" s="18"/>
      <c r="I159" s="25">
        <f>Dimensions!$D$34*A159*A159*A159*0.000000000000000001</f>
        <v>8.109346725506319E-09</v>
      </c>
      <c r="J159" s="25">
        <f t="shared" si="10"/>
        <v>16.64745688766577</v>
      </c>
      <c r="K159" s="25">
        <f>Dimensions!$D$37*J159</f>
        <v>2497.118533149865</v>
      </c>
    </row>
    <row r="160" spans="1:11" ht="10.5">
      <c r="A160" s="34">
        <f t="shared" si="11"/>
        <v>151</v>
      </c>
      <c r="B160" s="16"/>
      <c r="C160" s="25">
        <f t="shared" si="8"/>
        <v>1.36806E-07</v>
      </c>
      <c r="D160" s="18"/>
      <c r="E160" s="25">
        <f>Dimensions!$D$33*A160*A160*A160*0.000000000000000001</f>
        <v>5.51507820601061E-09</v>
      </c>
      <c r="F160" s="25">
        <f t="shared" si="9"/>
        <v>24.805813243210572</v>
      </c>
      <c r="G160" s="25">
        <f>Dimensions!$D$36*F160</f>
        <v>2480.5813243210573</v>
      </c>
      <c r="H160" s="18"/>
      <c r="I160" s="25">
        <f>Dimensions!$D$34*A160*A160*A160*0.000000000000000001</f>
        <v>8.272617309015912E-09</v>
      </c>
      <c r="J160" s="25">
        <f t="shared" si="10"/>
        <v>16.537208828807053</v>
      </c>
      <c r="K160" s="25">
        <f>Dimensions!$D$37*J160</f>
        <v>2480.5813243210573</v>
      </c>
    </row>
    <row r="161" spans="1:11" ht="10.5">
      <c r="A161" s="34">
        <f t="shared" si="11"/>
        <v>152</v>
      </c>
      <c r="B161" s="16"/>
      <c r="C161" s="25">
        <f t="shared" si="8"/>
        <v>1.3862399999999998E-07</v>
      </c>
      <c r="D161" s="18"/>
      <c r="E161" s="25">
        <f>Dimensions!$D$33*A161*A161*A161*0.000000000000000001</f>
        <v>5.625376534401363E-09</v>
      </c>
      <c r="F161" s="25">
        <f t="shared" si="9"/>
        <v>24.642617103452608</v>
      </c>
      <c r="G161" s="25">
        <f>Dimensions!$D$36*F161</f>
        <v>2464.261710345261</v>
      </c>
      <c r="H161" s="18"/>
      <c r="I161" s="25">
        <f>Dimensions!$D$34*A161*A161*A161*0.000000000000000001</f>
        <v>8.438064801602044E-09</v>
      </c>
      <c r="J161" s="25">
        <f t="shared" si="10"/>
        <v>16.42841140230174</v>
      </c>
      <c r="K161" s="25">
        <f>Dimensions!$D$37*J161</f>
        <v>2464.261710345261</v>
      </c>
    </row>
    <row r="162" spans="1:11" ht="10.5">
      <c r="A162" s="34">
        <f t="shared" si="11"/>
        <v>153</v>
      </c>
      <c r="B162" s="16"/>
      <c r="C162" s="25">
        <f t="shared" si="8"/>
        <v>1.40454E-07</v>
      </c>
      <c r="D162" s="18"/>
      <c r="E162" s="25">
        <f>Dimensions!$D$33*A162*A162*A162*0.000000000000000001</f>
        <v>5.7371357465874074E-09</v>
      </c>
      <c r="F162" s="25">
        <f t="shared" si="9"/>
        <v>24.4815542465673</v>
      </c>
      <c r="G162" s="25">
        <f>Dimensions!$D$36*F162</f>
        <v>2448.15542465673</v>
      </c>
      <c r="H162" s="18"/>
      <c r="I162" s="25">
        <f>Dimensions!$D$34*A162*A162*A162*0.000000000000000001</f>
        <v>8.60570361988111E-09</v>
      </c>
      <c r="J162" s="25">
        <f t="shared" si="10"/>
        <v>16.321036164378203</v>
      </c>
      <c r="K162" s="25">
        <f>Dimensions!$D$37*J162</f>
        <v>2448.15542465673</v>
      </c>
    </row>
    <row r="163" spans="1:11" ht="10.5">
      <c r="A163" s="34">
        <f t="shared" si="11"/>
        <v>154</v>
      </c>
      <c r="B163" s="16"/>
      <c r="C163" s="25">
        <f t="shared" si="8"/>
        <v>1.42296E-07</v>
      </c>
      <c r="D163" s="18"/>
      <c r="E163" s="25">
        <f>Dimensions!$D$33*A163*A163*A163*0.000000000000000001</f>
        <v>5.850365453646343E-09</v>
      </c>
      <c r="F163" s="25">
        <f t="shared" si="9"/>
        <v>24.322583115096087</v>
      </c>
      <c r="G163" s="25">
        <f>Dimensions!$D$36*F163</f>
        <v>2432.2583115096086</v>
      </c>
      <c r="H163" s="18"/>
      <c r="I163" s="25">
        <f>Dimensions!$D$34*A163*A163*A163*0.000000000000000001</f>
        <v>8.775548180469515E-09</v>
      </c>
      <c r="J163" s="25">
        <f t="shared" si="10"/>
        <v>16.215055410064057</v>
      </c>
      <c r="K163" s="25">
        <f>Dimensions!$D$37*J163</f>
        <v>2432.258311509608</v>
      </c>
    </row>
    <row r="164" spans="1:11" ht="10.5">
      <c r="A164" s="34">
        <f t="shared" si="11"/>
        <v>155</v>
      </c>
      <c r="B164" s="16"/>
      <c r="C164" s="25">
        <f t="shared" si="8"/>
        <v>1.4415E-07</v>
      </c>
      <c r="D164" s="18"/>
      <c r="E164" s="25">
        <f>Dimensions!$D$33*A164*A164*A164*0.000000000000000001</f>
        <v>5.965075266655773E-09</v>
      </c>
      <c r="F164" s="25">
        <f t="shared" si="9"/>
        <v>24.165663224030947</v>
      </c>
      <c r="G164" s="25">
        <f>Dimensions!$D$36*F164</f>
        <v>2416.5663224030945</v>
      </c>
      <c r="H164" s="18"/>
      <c r="I164" s="25">
        <f>Dimensions!$D$34*A164*A164*A164*0.000000000000000001</f>
        <v>8.947612899983657E-09</v>
      </c>
      <c r="J164" s="25">
        <f t="shared" si="10"/>
        <v>16.11044214935397</v>
      </c>
      <c r="K164" s="25">
        <f>Dimensions!$D$37*J164</f>
        <v>2416.566322403095</v>
      </c>
    </row>
    <row r="165" spans="1:11" ht="10.5">
      <c r="A165" s="34">
        <f t="shared" si="11"/>
        <v>156</v>
      </c>
      <c r="B165" s="16"/>
      <c r="C165" s="25">
        <f t="shared" si="8"/>
        <v>1.46016E-07</v>
      </c>
      <c r="D165" s="18"/>
      <c r="E165" s="25">
        <f>Dimensions!$D$33*A165*A165*A165*0.000000000000000001</f>
        <v>6.081274796693294E-09</v>
      </c>
      <c r="F165" s="25">
        <f t="shared" si="9"/>
        <v>24.010755126441005</v>
      </c>
      <c r="G165" s="25">
        <f>Dimensions!$D$36*F165</f>
        <v>2401.0755126441004</v>
      </c>
      <c r="H165" s="18"/>
      <c r="I165" s="25">
        <f>Dimensions!$D$34*A165*A165*A165*0.000000000000000001</f>
        <v>9.121912195039941E-09</v>
      </c>
      <c r="J165" s="25">
        <f t="shared" si="10"/>
        <v>16.007170084294003</v>
      </c>
      <c r="K165" s="25">
        <f>Dimensions!$D$37*J165</f>
        <v>2401.0755126441</v>
      </c>
    </row>
    <row r="166" spans="1:11" ht="10.5">
      <c r="A166" s="34">
        <f t="shared" si="11"/>
        <v>157</v>
      </c>
      <c r="B166" s="16"/>
      <c r="C166" s="25">
        <f t="shared" si="8"/>
        <v>1.47894E-07</v>
      </c>
      <c r="D166" s="18"/>
      <c r="E166" s="25">
        <f>Dimensions!$D$33*A166*A166*A166*0.000000000000000001</f>
        <v>6.198973654836509E-09</v>
      </c>
      <c r="F166" s="25">
        <f t="shared" si="9"/>
        <v>23.85782038041272</v>
      </c>
      <c r="G166" s="25">
        <f>Dimensions!$D$36*F166</f>
        <v>2385.782038041272</v>
      </c>
      <c r="H166" s="18"/>
      <c r="I166" s="25">
        <f>Dimensions!$D$34*A166*A166*A166*0.000000000000000001</f>
        <v>9.298460482254765E-09</v>
      </c>
      <c r="J166" s="25">
        <f t="shared" si="10"/>
        <v>15.90521358694181</v>
      </c>
      <c r="K166" s="25">
        <f>Dimensions!$D$37*J166</f>
        <v>2385.7820380412713</v>
      </c>
    </row>
    <row r="167" spans="1:11" ht="10.5">
      <c r="A167" s="34">
        <f t="shared" si="11"/>
        <v>158</v>
      </c>
      <c r="B167" s="16"/>
      <c r="C167" s="25">
        <f t="shared" si="8"/>
        <v>1.4978399999999999E-07</v>
      </c>
      <c r="D167" s="18"/>
      <c r="E167" s="25">
        <f>Dimensions!$D$33*A167*A167*A167*0.000000000000000001</f>
        <v>6.318181452163018E-09</v>
      </c>
      <c r="F167" s="25">
        <f t="shared" si="9"/>
        <v>23.70682151724555</v>
      </c>
      <c r="G167" s="25">
        <f>Dimensions!$D$36*F167</f>
        <v>2370.6821517245553</v>
      </c>
      <c r="H167" s="18"/>
      <c r="I167" s="25">
        <f>Dimensions!$D$34*A167*A167*A167*0.000000000000000001</f>
        <v>9.477272178244528E-09</v>
      </c>
      <c r="J167" s="25">
        <f t="shared" si="10"/>
        <v>15.8045476781637</v>
      </c>
      <c r="K167" s="25">
        <f>Dimensions!$D$37*J167</f>
        <v>2370.682151724555</v>
      </c>
    </row>
    <row r="168" spans="1:11" ht="10.5">
      <c r="A168" s="34">
        <f t="shared" si="11"/>
        <v>159</v>
      </c>
      <c r="B168" s="16"/>
      <c r="C168" s="25">
        <f t="shared" si="8"/>
        <v>1.51686E-07</v>
      </c>
      <c r="D168" s="18"/>
      <c r="E168" s="25">
        <f>Dimensions!$D$33*A168*A168*A168*0.000000000000000001</f>
        <v>6.438907799750424E-09</v>
      </c>
      <c r="F168" s="25">
        <f t="shared" si="9"/>
        <v>23.557722010847776</v>
      </c>
      <c r="G168" s="25">
        <f>Dimensions!$D$36*F168</f>
        <v>2355.7722010847774</v>
      </c>
      <c r="H168" s="18"/>
      <c r="I168" s="25">
        <f>Dimensions!$D$34*A168*A168*A168*0.000000000000000001</f>
        <v>9.658361699625634E-09</v>
      </c>
      <c r="J168" s="25">
        <f t="shared" si="10"/>
        <v>15.705148007231855</v>
      </c>
      <c r="K168" s="25">
        <f>Dimensions!$D$37*J168</f>
        <v>2355.772201084778</v>
      </c>
    </row>
    <row r="169" spans="1:11" ht="10.5">
      <c r="A169" s="34">
        <f t="shared" si="11"/>
        <v>160</v>
      </c>
      <c r="B169" s="16"/>
      <c r="C169" s="25">
        <f t="shared" si="8"/>
        <v>1.536E-07</v>
      </c>
      <c r="D169" s="18"/>
      <c r="E169" s="25">
        <f>Dimensions!$D$33*A169*A169*A169*0.000000000000000001</f>
        <v>6.561162308676324E-09</v>
      </c>
      <c r="F169" s="25">
        <f t="shared" si="9"/>
        <v>23.410486248279977</v>
      </c>
      <c r="G169" s="25">
        <f>Dimensions!$D$36*F169</f>
        <v>2341.0486248279976</v>
      </c>
      <c r="H169" s="18"/>
      <c r="I169" s="25">
        <f>Dimensions!$D$34*A169*A169*A169*0.000000000000000001</f>
        <v>9.841743463014486E-09</v>
      </c>
      <c r="J169" s="25">
        <f t="shared" si="10"/>
        <v>15.606990832186654</v>
      </c>
      <c r="K169" s="25">
        <f>Dimensions!$D$37*J169</f>
        <v>2341.0486248279976</v>
      </c>
    </row>
    <row r="170" spans="1:11" ht="10.5">
      <c r="A170" s="34">
        <f t="shared" si="11"/>
        <v>161</v>
      </c>
      <c r="B170" s="16"/>
      <c r="C170" s="25">
        <f t="shared" si="8"/>
        <v>1.5552599999999999E-07</v>
      </c>
      <c r="D170" s="18"/>
      <c r="E170" s="25">
        <f>Dimensions!$D$33*A170*A170*A170*0.000000000000000001</f>
        <v>6.684954590018319E-09</v>
      </c>
      <c r="F170" s="25">
        <f t="shared" si="9"/>
        <v>23.26507950139625</v>
      </c>
      <c r="G170" s="25">
        <f>Dimensions!$D$36*F170</f>
        <v>2326.507950139625</v>
      </c>
      <c r="H170" s="18"/>
      <c r="I170" s="25">
        <f>Dimensions!$D$34*A170*A170*A170*0.000000000000000001</f>
        <v>1.0027431885027478E-08</v>
      </c>
      <c r="J170" s="25">
        <f t="shared" si="10"/>
        <v>15.510053000930835</v>
      </c>
      <c r="K170" s="25">
        <f>Dimensions!$D$37*J170</f>
        <v>2326.507950139625</v>
      </c>
    </row>
    <row r="171" spans="1:11" ht="10.5">
      <c r="A171" s="34">
        <f t="shared" si="11"/>
        <v>162</v>
      </c>
      <c r="B171" s="16"/>
      <c r="C171" s="25">
        <f t="shared" si="8"/>
        <v>1.5746399999999999E-07</v>
      </c>
      <c r="D171" s="18"/>
      <c r="E171" s="25">
        <f>Dimensions!$D$33*A171*A171*A171*0.000000000000000001</f>
        <v>6.810294254854012E-09</v>
      </c>
      <c r="F171" s="25">
        <f t="shared" si="9"/>
        <v>23.12146789953578</v>
      </c>
      <c r="G171" s="25">
        <f>Dimensions!$D$36*F171</f>
        <v>2312.146789953578</v>
      </c>
      <c r="H171" s="18"/>
      <c r="I171" s="25">
        <f>Dimensions!$D$34*A171*A171*A171*0.000000000000000001</f>
        <v>1.0215441382281016E-08</v>
      </c>
      <c r="J171" s="25">
        <f t="shared" si="10"/>
        <v>15.414311933023857</v>
      </c>
      <c r="K171" s="25">
        <f>Dimensions!$D$37*J171</f>
        <v>2312.1467899535783</v>
      </c>
    </row>
    <row r="172" spans="1:11" ht="10.5">
      <c r="A172" s="34">
        <f t="shared" si="11"/>
        <v>163</v>
      </c>
      <c r="B172" s="16"/>
      <c r="C172" s="25">
        <f t="shared" si="8"/>
        <v>1.59414E-07</v>
      </c>
      <c r="D172" s="18"/>
      <c r="E172" s="25">
        <f>Dimensions!$D$33*A172*A172*A172*0.000000000000000001</f>
        <v>6.937190914261001E-09</v>
      </c>
      <c r="F172" s="25">
        <f t="shared" si="9"/>
        <v>22.979618403219614</v>
      </c>
      <c r="G172" s="25">
        <f>Dimensions!$D$36*F172</f>
        <v>2297.9618403219615</v>
      </c>
      <c r="H172" s="18"/>
      <c r="I172" s="25">
        <f>Dimensions!$D$34*A172*A172*A172*0.000000000000000001</f>
        <v>1.0405786371391499E-08</v>
      </c>
      <c r="J172" s="25">
        <f t="shared" si="10"/>
        <v>15.319745602146414</v>
      </c>
      <c r="K172" s="25">
        <f>Dimensions!$D$37*J172</f>
        <v>2297.9618403219615</v>
      </c>
    </row>
    <row r="173" spans="1:11" ht="10.5">
      <c r="A173" s="34">
        <f t="shared" si="11"/>
        <v>164</v>
      </c>
      <c r="B173" s="16"/>
      <c r="C173" s="25">
        <f t="shared" si="8"/>
        <v>1.61376E-07</v>
      </c>
      <c r="D173" s="18"/>
      <c r="E173" s="25">
        <f>Dimensions!$D$33*A173*A173*A173*0.000000000000000001</f>
        <v>7.065654179316889E-09</v>
      </c>
      <c r="F173" s="25">
        <f t="shared" si="9"/>
        <v>22.839498778809737</v>
      </c>
      <c r="G173" s="25">
        <f>Dimensions!$D$36*F173</f>
        <v>2283.949877880974</v>
      </c>
      <c r="H173" s="18"/>
      <c r="I173" s="25">
        <f>Dimensions!$D$34*A173*A173*A173*0.000000000000000001</f>
        <v>1.0598481268975333E-08</v>
      </c>
      <c r="J173" s="25">
        <f t="shared" si="10"/>
        <v>15.226332519206492</v>
      </c>
      <c r="K173" s="25">
        <f>Dimensions!$D$37*J173</f>
        <v>2283.9498778809734</v>
      </c>
    </row>
    <row r="174" spans="1:11" ht="10.5">
      <c r="A174" s="34">
        <f t="shared" si="11"/>
        <v>165</v>
      </c>
      <c r="B174" s="16"/>
      <c r="C174" s="25">
        <f t="shared" si="8"/>
        <v>1.6335E-07</v>
      </c>
      <c r="D174" s="18"/>
      <c r="E174" s="25">
        <f>Dimensions!$D$33*A174*A174*A174*0.000000000000000001</f>
        <v>7.1956936610992736E-09</v>
      </c>
      <c r="F174" s="25">
        <f t="shared" si="9"/>
        <v>22.70107757408968</v>
      </c>
      <c r="G174" s="25">
        <f>Dimensions!$D$36*F174</f>
        <v>2270.107757408968</v>
      </c>
      <c r="H174" s="18"/>
      <c r="I174" s="25">
        <f>Dimensions!$D$34*A174*A174*A174*0.000000000000000001</f>
        <v>1.0793540491648912E-08</v>
      </c>
      <c r="J174" s="25">
        <f t="shared" si="10"/>
        <v>15.134051716059785</v>
      </c>
      <c r="K174" s="25">
        <f>Dimensions!$D$37*J174</f>
        <v>2270.1077574089672</v>
      </c>
    </row>
    <row r="175" spans="1:11" ht="10.5">
      <c r="A175" s="34">
        <f t="shared" si="11"/>
        <v>166</v>
      </c>
      <c r="B175" s="16"/>
      <c r="C175" s="25">
        <f t="shared" si="8"/>
        <v>1.65336E-07</v>
      </c>
      <c r="D175" s="18"/>
      <c r="E175" s="25">
        <f>Dimensions!$D$33*A175*A175*A175*0.000000000000000001</f>
        <v>7.32731897068576E-09</v>
      </c>
      <c r="F175" s="25">
        <f t="shared" si="9"/>
        <v>22.56432409472769</v>
      </c>
      <c r="G175" s="25">
        <f>Dimensions!$D$36*F175</f>
        <v>2256.432409472769</v>
      </c>
      <c r="H175" s="18"/>
      <c r="I175" s="25">
        <f>Dimensions!$D$34*A175*A175*A175*0.000000000000000001</f>
        <v>1.0990978456028639E-08</v>
      </c>
      <c r="J175" s="25">
        <f t="shared" si="10"/>
        <v>15.042882729818462</v>
      </c>
      <c r="K175" s="25">
        <f>Dimensions!$D$37*J175</f>
        <v>2256.432409472769</v>
      </c>
    </row>
    <row r="176" spans="1:11" ht="10.5">
      <c r="A176" s="34">
        <f t="shared" si="11"/>
        <v>167</v>
      </c>
      <c r="B176" s="16"/>
      <c r="C176" s="25">
        <f t="shared" si="8"/>
        <v>1.67334E-07</v>
      </c>
      <c r="D176" s="18"/>
      <c r="E176" s="25">
        <f>Dimensions!$D$33*A176*A176*A176*0.000000000000000001</f>
        <v>7.460539719153945E-09</v>
      </c>
      <c r="F176" s="25">
        <f t="shared" si="9"/>
        <v>22.42920838158561</v>
      </c>
      <c r="G176" s="25">
        <f>Dimensions!$D$36*F176</f>
        <v>2242.920838158561</v>
      </c>
      <c r="H176" s="18"/>
      <c r="I176" s="25">
        <f>Dimensions!$D$34*A176*A176*A176*0.000000000000000001</f>
        <v>1.1190809578730915E-08</v>
      </c>
      <c r="J176" s="25">
        <f t="shared" si="10"/>
        <v>14.952805587723743</v>
      </c>
      <c r="K176" s="25">
        <f>Dimensions!$D$37*J176</f>
        <v>2242.920838158561</v>
      </c>
    </row>
    <row r="177" spans="1:11" ht="10.5">
      <c r="A177" s="34">
        <f t="shared" si="11"/>
        <v>168</v>
      </c>
      <c r="B177" s="16"/>
      <c r="C177" s="25">
        <f t="shared" si="8"/>
        <v>1.6934399999999998E-07</v>
      </c>
      <c r="D177" s="18"/>
      <c r="E177" s="25">
        <f>Dimensions!$D$33*A177*A177*A177*0.000000000000000001</f>
        <v>7.595365517581426E-09</v>
      </c>
      <c r="F177" s="25">
        <f t="shared" si="9"/>
        <v>22.295701188838084</v>
      </c>
      <c r="G177" s="25">
        <f>Dimensions!$D$36*F177</f>
        <v>2229.5701188838084</v>
      </c>
      <c r="H177" s="18"/>
      <c r="I177" s="25">
        <f>Dimensions!$D$34*A177*A177*A177*0.000000000000000001</f>
        <v>1.1393048276372142E-08</v>
      </c>
      <c r="J177" s="25">
        <f t="shared" si="10"/>
        <v>14.863800792558719</v>
      </c>
      <c r="K177" s="25">
        <f>Dimensions!$D$37*J177</f>
        <v>2229.5701188838075</v>
      </c>
    </row>
    <row r="178" spans="1:11" ht="10.5">
      <c r="A178" s="34">
        <f t="shared" si="11"/>
        <v>169</v>
      </c>
      <c r="B178" s="16"/>
      <c r="C178" s="25">
        <f t="shared" si="8"/>
        <v>1.71366E-07</v>
      </c>
      <c r="D178" s="18"/>
      <c r="E178" s="25">
        <f>Dimensions!$D$33*A178*A178*A178*0.000000000000000001</f>
        <v>7.731805977045814E-09</v>
      </c>
      <c r="F178" s="25">
        <f t="shared" si="9"/>
        <v>22.16377396286862</v>
      </c>
      <c r="G178" s="25">
        <f>Dimensions!$D$36*F178</f>
        <v>2216.377396286862</v>
      </c>
      <c r="H178" s="18"/>
      <c r="I178" s="25">
        <f>Dimensions!$D$34*A178*A178*A178*0.000000000000000001</f>
        <v>1.159770896556872E-08</v>
      </c>
      <c r="J178" s="25">
        <f t="shared" si="10"/>
        <v>14.775849308579083</v>
      </c>
      <c r="K178" s="25">
        <f>Dimensions!$D$37*J178</f>
        <v>2216.377396286862</v>
      </c>
    </row>
    <row r="179" spans="1:11" ht="10.5">
      <c r="A179" s="34">
        <f t="shared" si="11"/>
        <v>170</v>
      </c>
      <c r="B179" s="16"/>
      <c r="C179" s="25">
        <f t="shared" si="8"/>
        <v>1.734E-07</v>
      </c>
      <c r="D179" s="18"/>
      <c r="E179" s="25">
        <f>Dimensions!$D$33*A179*A179*A179*0.000000000000000001</f>
        <v>7.869870708624702E-09</v>
      </c>
      <c r="F179" s="25">
        <f t="shared" si="9"/>
        <v>22.03339882191057</v>
      </c>
      <c r="G179" s="25">
        <f>Dimensions!$D$36*F179</f>
        <v>2203.339882191057</v>
      </c>
      <c r="H179" s="18"/>
      <c r="I179" s="25">
        <f>Dimensions!$D$34*A179*A179*A179*0.000000000000000001</f>
        <v>1.1804806062937053E-08</v>
      </c>
      <c r="J179" s="25">
        <f t="shared" si="10"/>
        <v>14.68893254794038</v>
      </c>
      <c r="K179" s="25">
        <f>Dimensions!$D$37*J179</f>
        <v>2203.339882191057</v>
      </c>
    </row>
    <row r="180" spans="1:11" ht="10.5">
      <c r="A180" s="34">
        <f t="shared" si="11"/>
        <v>171</v>
      </c>
      <c r="B180" s="16"/>
      <c r="C180" s="25">
        <f t="shared" si="8"/>
        <v>1.75446E-07</v>
      </c>
      <c r="D180" s="18"/>
      <c r="E180" s="25">
        <f>Dimensions!$D$33*A180*A180*A180*0.000000000000000001</f>
        <v>8.009569323395689E-09</v>
      </c>
      <c r="F180" s="25">
        <f t="shared" si="9"/>
        <v>21.904548536402324</v>
      </c>
      <c r="G180" s="25">
        <f>Dimensions!$D$36*F180</f>
        <v>2190.454853640232</v>
      </c>
      <c r="H180" s="18"/>
      <c r="I180" s="25">
        <f>Dimensions!$D$34*A180*A180*A180*0.000000000000000001</f>
        <v>1.2014353985093533E-08</v>
      </c>
      <c r="J180" s="25">
        <f t="shared" si="10"/>
        <v>14.603032357601549</v>
      </c>
      <c r="K180" s="25">
        <f>Dimensions!$D$37*J180</f>
        <v>2190.454853640232</v>
      </c>
    </row>
    <row r="181" spans="1:11" ht="10.5">
      <c r="A181" s="34">
        <f t="shared" si="11"/>
        <v>172</v>
      </c>
      <c r="B181" s="16"/>
      <c r="C181" s="25">
        <f t="shared" si="8"/>
        <v>1.77504E-07</v>
      </c>
      <c r="D181" s="18"/>
      <c r="E181" s="25">
        <f>Dimensions!$D$33*A181*A181*A181*0.000000000000000001</f>
        <v>8.150911432436382E-09</v>
      </c>
      <c r="F181" s="25">
        <f t="shared" si="9"/>
        <v>21.77719651002789</v>
      </c>
      <c r="G181" s="25">
        <f>Dimensions!$D$36*F181</f>
        <v>2177.719651002789</v>
      </c>
      <c r="H181" s="18"/>
      <c r="I181" s="25">
        <f>Dimensions!$D$34*A181*A181*A181*0.000000000000000001</f>
        <v>1.2226367148654573E-08</v>
      </c>
      <c r="J181" s="25">
        <f t="shared" si="10"/>
        <v>14.518131006685259</v>
      </c>
      <c r="K181" s="25">
        <f>Dimensions!$D$37*J181</f>
        <v>2177.7196510027884</v>
      </c>
    </row>
    <row r="182" spans="1:11" ht="10.5">
      <c r="A182" s="34">
        <f t="shared" si="11"/>
        <v>173</v>
      </c>
      <c r="B182" s="16"/>
      <c r="C182" s="25">
        <f t="shared" si="8"/>
        <v>1.79574E-07</v>
      </c>
      <c r="D182" s="18"/>
      <c r="E182" s="25">
        <f>Dimensions!$D$33*A182*A182*A182*0.000000000000000001</f>
        <v>8.293906646824376E-09</v>
      </c>
      <c r="F182" s="25">
        <f t="shared" si="9"/>
        <v>21.65131676141501</v>
      </c>
      <c r="G182" s="25">
        <f>Dimensions!$D$36*F182</f>
        <v>2165.131676141501</v>
      </c>
      <c r="H182" s="18"/>
      <c r="I182" s="25">
        <f>Dimensions!$D$34*A182*A182*A182*0.000000000000000001</f>
        <v>1.2440859970236563E-08</v>
      </c>
      <c r="J182" s="25">
        <f t="shared" si="10"/>
        <v>14.434211174276676</v>
      </c>
      <c r="K182" s="25">
        <f>Dimensions!$D$37*J182</f>
        <v>2165.131676141501</v>
      </c>
    </row>
    <row r="183" spans="1:11" ht="10.5">
      <c r="A183" s="34">
        <f t="shared" si="11"/>
        <v>174</v>
      </c>
      <c r="B183" s="16"/>
      <c r="C183" s="25">
        <f t="shared" si="8"/>
        <v>1.81656E-07</v>
      </c>
      <c r="D183" s="18"/>
      <c r="E183" s="25">
        <f>Dimensions!$D$33*A183*A183*A183*0.000000000000000001</f>
        <v>8.438564577637275E-09</v>
      </c>
      <c r="F183" s="25">
        <f t="shared" si="9"/>
        <v>21.52688390646435</v>
      </c>
      <c r="G183" s="25">
        <f>Dimensions!$D$36*F183</f>
        <v>2152.688390646435</v>
      </c>
      <c r="H183" s="18"/>
      <c r="I183" s="25">
        <f>Dimensions!$D$34*A183*A183*A183*0.000000000000000001</f>
        <v>1.2657846866455913E-08</v>
      </c>
      <c r="J183" s="25">
        <f t="shared" si="10"/>
        <v>14.3512559376429</v>
      </c>
      <c r="K183" s="25">
        <f>Dimensions!$D$37*J183</f>
        <v>2152.6883906464345</v>
      </c>
    </row>
    <row r="184" spans="1:11" ht="10.5">
      <c r="A184" s="34">
        <f t="shared" si="11"/>
        <v>175</v>
      </c>
      <c r="B184" s="16"/>
      <c r="C184" s="25">
        <f t="shared" si="8"/>
        <v>1.8375E-07</v>
      </c>
      <c r="D184" s="18"/>
      <c r="E184" s="25">
        <f>Dimensions!$D$33*A184*A184*A184*0.000000000000000001</f>
        <v>8.584894835952679E-09</v>
      </c>
      <c r="F184" s="25">
        <f t="shared" si="9"/>
        <v>21.40387314128455</v>
      </c>
      <c r="G184" s="25">
        <f>Dimensions!$D$36*F184</f>
        <v>2140.387314128455</v>
      </c>
      <c r="H184" s="18"/>
      <c r="I184" s="25">
        <f>Dimensions!$D$34*A184*A184*A184*0.000000000000000001</f>
        <v>1.2877342253929014E-08</v>
      </c>
      <c r="J184" s="25">
        <f t="shared" si="10"/>
        <v>14.269248760856371</v>
      </c>
      <c r="K184" s="25">
        <f>Dimensions!$D$37*J184</f>
        <v>2140.3873141284553</v>
      </c>
    </row>
    <row r="185" spans="1:11" ht="10.5">
      <c r="A185" s="34">
        <f t="shared" si="11"/>
        <v>176</v>
      </c>
      <c r="B185" s="16"/>
      <c r="C185" s="25">
        <f t="shared" si="8"/>
        <v>1.85856E-07</v>
      </c>
      <c r="D185" s="18"/>
      <c r="E185" s="25">
        <f>Dimensions!$D$33*A185*A185*A185*0.000000000000000001</f>
        <v>8.732907032848185E-09</v>
      </c>
      <c r="F185" s="25">
        <f t="shared" si="9"/>
        <v>21.282260225709074</v>
      </c>
      <c r="G185" s="25">
        <f>Dimensions!$D$36*F185</f>
        <v>2128.2260225709074</v>
      </c>
      <c r="H185" s="18"/>
      <c r="I185" s="25">
        <f>Dimensions!$D$34*A185*A185*A185*0.000000000000000001</f>
        <v>1.3099360549272278E-08</v>
      </c>
      <c r="J185" s="25">
        <f t="shared" si="10"/>
        <v>14.18817348380605</v>
      </c>
      <c r="K185" s="25">
        <f>Dimensions!$D$37*J185</f>
        <v>2128.226022570907</v>
      </c>
    </row>
    <row r="186" spans="1:11" ht="10.5">
      <c r="A186" s="34">
        <f t="shared" si="11"/>
        <v>177</v>
      </c>
      <c r="B186" s="16"/>
      <c r="C186" s="25">
        <f t="shared" si="8"/>
        <v>1.8797399999999999E-07</v>
      </c>
      <c r="D186" s="18"/>
      <c r="E186" s="25">
        <f>Dimensions!$D$33*A186*A186*A186*0.000000000000000001</f>
        <v>8.8826107794014E-09</v>
      </c>
      <c r="F186" s="25">
        <f t="shared" si="9"/>
        <v>21.162021467371734</v>
      </c>
      <c r="G186" s="25">
        <f>Dimensions!$D$36*F186</f>
        <v>2116.2021467371733</v>
      </c>
      <c r="H186" s="18"/>
      <c r="I186" s="25">
        <f>Dimensions!$D$34*A186*A186*A186*0.000000000000000001</f>
        <v>1.33239161691021E-08</v>
      </c>
      <c r="J186" s="25">
        <f t="shared" si="10"/>
        <v>14.108014311581156</v>
      </c>
      <c r="K186" s="25">
        <f>Dimensions!$D$37*J186</f>
        <v>2116.202146737173</v>
      </c>
    </row>
    <row r="187" spans="1:11" ht="10.5">
      <c r="A187" s="34">
        <f t="shared" si="11"/>
        <v>178</v>
      </c>
      <c r="B187" s="16"/>
      <c r="C187" s="25">
        <f t="shared" si="8"/>
        <v>1.90104E-07</v>
      </c>
      <c r="D187" s="18"/>
      <c r="E187" s="25">
        <f>Dimensions!$D$33*A187*A187*A187*0.000000000000000001</f>
        <v>9.03401568668992E-09</v>
      </c>
      <c r="F187" s="25">
        <f t="shared" si="9"/>
        <v>21.043133706319082</v>
      </c>
      <c r="G187" s="25">
        <f>Dimensions!$D$36*F187</f>
        <v>2104.313370631908</v>
      </c>
      <c r="H187" s="18"/>
      <c r="I187" s="25">
        <f>Dimensions!$D$34*A187*A187*A187*0.000000000000000001</f>
        <v>1.355102353003488E-08</v>
      </c>
      <c r="J187" s="25">
        <f t="shared" si="10"/>
        <v>14.028755804212723</v>
      </c>
      <c r="K187" s="25">
        <f>Dimensions!$D$37*J187</f>
        <v>2104.313370631908</v>
      </c>
    </row>
    <row r="188" spans="1:11" ht="10.5">
      <c r="A188" s="34">
        <f t="shared" si="11"/>
        <v>179</v>
      </c>
      <c r="B188" s="16"/>
      <c r="C188" s="25">
        <f t="shared" si="8"/>
        <v>1.9224599999999999E-07</v>
      </c>
      <c r="D188" s="18"/>
      <c r="E188" s="25">
        <f>Dimensions!$D$33*A188*A188*A188*0.000000000000000001</f>
        <v>9.187131365791346E-09</v>
      </c>
      <c r="F188" s="25">
        <f t="shared" si="9"/>
        <v>20.925574300138532</v>
      </c>
      <c r="G188" s="25">
        <f>Dimensions!$D$36*F188</f>
        <v>2092.5574300138533</v>
      </c>
      <c r="H188" s="18"/>
      <c r="I188" s="25">
        <f>Dimensions!$D$34*A188*A188*A188*0.000000000000000001</f>
        <v>1.3780697048687016E-08</v>
      </c>
      <c r="J188" s="25">
        <f t="shared" si="10"/>
        <v>13.950382866759023</v>
      </c>
      <c r="K188" s="25">
        <f>Dimensions!$D$37*J188</f>
        <v>2092.5574300138533</v>
      </c>
    </row>
    <row r="189" spans="1:11" ht="10.5">
      <c r="A189" s="34">
        <f t="shared" si="11"/>
        <v>180</v>
      </c>
      <c r="B189" s="16"/>
      <c r="C189" s="25">
        <f t="shared" si="8"/>
        <v>1.944E-07</v>
      </c>
      <c r="D189" s="18"/>
      <c r="E189" s="25">
        <f>Dimensions!$D$33*A189*A189*A189*0.000000000000000001</f>
        <v>9.34196742778328E-09</v>
      </c>
      <c r="F189" s="25">
        <f t="shared" si="9"/>
        <v>20.809321109582207</v>
      </c>
      <c r="G189" s="25">
        <f>Dimensions!$D$36*F189</f>
        <v>2080.9321109582206</v>
      </c>
      <c r="H189" s="18"/>
      <c r="I189" s="25">
        <f>Dimensions!$D$34*A189*A189*A189*0.000000000000000001</f>
        <v>1.401295114167492E-08</v>
      </c>
      <c r="J189" s="25">
        <f t="shared" si="10"/>
        <v>13.872880739721472</v>
      </c>
      <c r="K189" s="25">
        <f>Dimensions!$D$37*J189</f>
        <v>2080.9321109582206</v>
      </c>
    </row>
    <row r="190" spans="1:11" ht="10.5">
      <c r="A190" s="34">
        <f t="shared" si="11"/>
        <v>181</v>
      </c>
      <c r="B190" s="16"/>
      <c r="C190" s="25">
        <f t="shared" si="8"/>
        <v>1.96566E-07</v>
      </c>
      <c r="D190" s="18"/>
      <c r="E190" s="25">
        <f>Dimensions!$D$33*A190*A190*A190*0.000000000000000001</f>
        <v>9.498533483743323E-09</v>
      </c>
      <c r="F190" s="25">
        <f t="shared" si="9"/>
        <v>20.694352484667384</v>
      </c>
      <c r="G190" s="25">
        <f>Dimensions!$D$36*F190</f>
        <v>2069.4352484667384</v>
      </c>
      <c r="H190" s="18"/>
      <c r="I190" s="25">
        <f>Dimensions!$D$34*A190*A190*A190*0.000000000000000001</f>
        <v>1.4247800225614983E-08</v>
      </c>
      <c r="J190" s="25">
        <f t="shared" si="10"/>
        <v>13.796234989778258</v>
      </c>
      <c r="K190" s="25">
        <f>Dimensions!$D$37*J190</f>
        <v>2069.4352484667384</v>
      </c>
    </row>
    <row r="191" spans="1:11" ht="10.5">
      <c r="A191" s="34">
        <f t="shared" si="11"/>
        <v>182</v>
      </c>
      <c r="B191" s="16"/>
      <c r="C191" s="25">
        <f t="shared" si="8"/>
        <v>1.98744E-07</v>
      </c>
      <c r="D191" s="18"/>
      <c r="E191" s="25">
        <f>Dimensions!$D$33*A191*A191*A191*0.000000000000000001</f>
        <v>9.656839144749073E-09</v>
      </c>
      <c r="F191" s="25">
        <f t="shared" si="9"/>
        <v>20.58064725123515</v>
      </c>
      <c r="G191" s="25">
        <f>Dimensions!$D$36*F191</f>
        <v>2058.064725123515</v>
      </c>
      <c r="H191" s="18"/>
      <c r="I191" s="25">
        <f>Dimensions!$D$34*A191*A191*A191*0.000000000000000001</f>
        <v>1.4485258717123608E-08</v>
      </c>
      <c r="J191" s="25">
        <f t="shared" si="10"/>
        <v>13.720431500823434</v>
      </c>
      <c r="K191" s="25">
        <f>Dimensions!$D$37*J191</f>
        <v>2058.0647251235146</v>
      </c>
    </row>
    <row r="192" spans="1:11" ht="10.5">
      <c r="A192" s="34">
        <f t="shared" si="11"/>
        <v>183</v>
      </c>
      <c r="B192" s="16"/>
      <c r="C192" s="25">
        <f t="shared" si="8"/>
        <v>2.00934E-07</v>
      </c>
      <c r="D192" s="18"/>
      <c r="E192" s="25">
        <f>Dimensions!$D$33*A192*A192*A192*0.000000000000000001</f>
        <v>9.816894021878132E-09</v>
      </c>
      <c r="F192" s="25">
        <f t="shared" si="9"/>
        <v>20.468184697949713</v>
      </c>
      <c r="G192" s="25">
        <f>Dimensions!$D$36*F192</f>
        <v>2046.8184697949714</v>
      </c>
      <c r="H192" s="18"/>
      <c r="I192" s="25">
        <f>Dimensions!$D$34*A192*A192*A192*0.000000000000000001</f>
        <v>1.4725341032817199E-08</v>
      </c>
      <c r="J192" s="25">
        <f t="shared" si="10"/>
        <v>13.645456465299807</v>
      </c>
      <c r="K192" s="25">
        <f>Dimensions!$D$37*J192</f>
        <v>2046.8184697949707</v>
      </c>
    </row>
    <row r="193" spans="1:11" ht="10.5">
      <c r="A193" s="34">
        <f t="shared" si="11"/>
        <v>184</v>
      </c>
      <c r="B193" s="16"/>
      <c r="C193" s="25">
        <f t="shared" si="8"/>
        <v>2.03136E-07</v>
      </c>
      <c r="D193" s="18"/>
      <c r="E193" s="25">
        <f>Dimensions!$D$33*A193*A193*A193*0.000000000000000001</f>
        <v>9.978707726208103E-09</v>
      </c>
      <c r="F193" s="25">
        <f t="shared" si="9"/>
        <v>20.356944563721722</v>
      </c>
      <c r="G193" s="25">
        <f>Dimensions!$D$36*F193</f>
        <v>2035.6944563721722</v>
      </c>
      <c r="H193" s="18"/>
      <c r="I193" s="25">
        <f>Dimensions!$D$34*A193*A193*A193*0.000000000000000001</f>
        <v>1.4968061589312153E-08</v>
      </c>
      <c r="J193" s="25">
        <f t="shared" si="10"/>
        <v>13.571296375814484</v>
      </c>
      <c r="K193" s="25">
        <f>Dimensions!$D$37*J193</f>
        <v>2035.6944563721722</v>
      </c>
    </row>
    <row r="194" spans="1:11" ht="10.5">
      <c r="A194" s="34">
        <f t="shared" si="11"/>
        <v>185</v>
      </c>
      <c r="B194" s="16"/>
      <c r="C194" s="25">
        <f t="shared" si="8"/>
        <v>2.0535E-07</v>
      </c>
      <c r="D194" s="18"/>
      <c r="E194" s="25">
        <f>Dimensions!$D$33*A194*A194*A194*0.000000000000000001</f>
        <v>1.0142289868816582E-08</v>
      </c>
      <c r="F194" s="25">
        <f t="shared" si="9"/>
        <v>20.246907025539446</v>
      </c>
      <c r="G194" s="25">
        <f>Dimensions!$D$36*F194</f>
        <v>2024.6907025539447</v>
      </c>
      <c r="H194" s="18"/>
      <c r="I194" s="25">
        <f>Dimensions!$D$34*A194*A194*A194*0.000000000000000001</f>
        <v>1.5213434803224874E-08</v>
      </c>
      <c r="J194" s="25">
        <f t="shared" si="10"/>
        <v>13.497938017026296</v>
      </c>
      <c r="K194" s="25">
        <f>Dimensions!$D$37*J194</f>
        <v>2024.690702553944</v>
      </c>
    </row>
    <row r="195" spans="1:11" ht="10.5">
      <c r="A195" s="34">
        <f t="shared" si="11"/>
        <v>186</v>
      </c>
      <c r="B195" s="16"/>
      <c r="C195" s="25">
        <f t="shared" si="8"/>
        <v>2.07576E-07</v>
      </c>
      <c r="D195" s="18"/>
      <c r="E195" s="25">
        <f>Dimensions!$D$33*A195*A195*A195*0.000000000000000001</f>
        <v>1.0307650060781173E-08</v>
      </c>
      <c r="F195" s="25">
        <f t="shared" si="9"/>
        <v>20.13805268669246</v>
      </c>
      <c r="G195" s="25">
        <f>Dimensions!$D$36*F195</f>
        <v>2013.805268669246</v>
      </c>
      <c r="H195" s="18"/>
      <c r="I195" s="25">
        <f>Dimensions!$D$34*A195*A195*A195*0.000000000000000001</f>
        <v>1.5461475091171762E-08</v>
      </c>
      <c r="J195" s="25">
        <f t="shared" si="10"/>
        <v>13.42536845779497</v>
      </c>
      <c r="K195" s="25">
        <f>Dimensions!$D$37*J195</f>
        <v>2013.8052686692452</v>
      </c>
    </row>
    <row r="196" spans="1:11" ht="10.5">
      <c r="A196" s="34">
        <f t="shared" si="11"/>
        <v>187</v>
      </c>
      <c r="B196" s="16"/>
      <c r="C196" s="25">
        <f t="shared" si="8"/>
        <v>2.09814E-07</v>
      </c>
      <c r="D196" s="18"/>
      <c r="E196" s="25">
        <f>Dimensions!$D$33*A196*A196*A196*0.000000000000000001</f>
        <v>1.0474797913179478E-08</v>
      </c>
      <c r="F196" s="25">
        <f t="shared" si="9"/>
        <v>20.030362565373245</v>
      </c>
      <c r="G196" s="25">
        <f>Dimensions!$D$36*F196</f>
        <v>2003.0362565373246</v>
      </c>
      <c r="H196" s="18"/>
      <c r="I196" s="25">
        <f>Dimensions!$D$34*A196*A196*A196*0.000000000000000001</f>
        <v>1.5712196869769212E-08</v>
      </c>
      <c r="J196" s="25">
        <f t="shared" si="10"/>
        <v>13.353575043582167</v>
      </c>
      <c r="K196" s="25">
        <f>Dimensions!$D$37*J196</f>
        <v>2003.0362565373246</v>
      </c>
    </row>
    <row r="197" spans="1:11" ht="10.5">
      <c r="A197" s="34">
        <f t="shared" si="11"/>
        <v>188</v>
      </c>
      <c r="B197" s="16"/>
      <c r="C197" s="25">
        <f t="shared" si="8"/>
        <v>2.1206399999999999E-07</v>
      </c>
      <c r="D197" s="18"/>
      <c r="E197" s="25">
        <f>Dimensions!$D$33*A197*A197*A197*0.000000000000000001</f>
        <v>1.0643743037089093E-08</v>
      </c>
      <c r="F197" s="25">
        <f t="shared" si="9"/>
        <v>19.923818083642534</v>
      </c>
      <c r="G197" s="25">
        <f>Dimensions!$D$36*F197</f>
        <v>1992.3818083642534</v>
      </c>
      <c r="H197" s="18"/>
      <c r="I197" s="25">
        <f>Dimensions!$D$34*A197*A197*A197*0.000000000000000001</f>
        <v>1.5965614555633637E-08</v>
      </c>
      <c r="J197" s="25">
        <f t="shared" si="10"/>
        <v>13.282545389095025</v>
      </c>
      <c r="K197" s="25">
        <f>Dimensions!$D$37*J197</f>
        <v>1992.3818083642534</v>
      </c>
    </row>
    <row r="198" spans="1:11" ht="10.5">
      <c r="A198" s="34">
        <f t="shared" si="11"/>
        <v>189</v>
      </c>
      <c r="B198" s="16"/>
      <c r="C198" s="25">
        <f t="shared" si="8"/>
        <v>2.1432599999999998E-07</v>
      </c>
      <c r="D198" s="18"/>
      <c r="E198" s="25">
        <f>Dimensions!$D$33*A198*A198*A198*0.000000000000000001</f>
        <v>1.0814495043587618E-08</v>
      </c>
      <c r="F198" s="25">
        <f t="shared" si="9"/>
        <v>19.81840105674496</v>
      </c>
      <c r="G198" s="25">
        <f>Dimensions!$D$36*F198</f>
        <v>1981.840105674496</v>
      </c>
      <c r="H198" s="18"/>
      <c r="I198" s="25">
        <f>Dimensions!$D$34*A198*A198*A198*0.000000000000000001</f>
        <v>1.622174256538143E-08</v>
      </c>
      <c r="J198" s="25">
        <f t="shared" si="10"/>
        <v>13.212267371163303</v>
      </c>
      <c r="K198" s="25">
        <f>Dimensions!$D$37*J198</f>
        <v>1981.8401056744951</v>
      </c>
    </row>
    <row r="199" spans="1:11" ht="10.5">
      <c r="A199" s="34">
        <f t="shared" si="11"/>
        <v>190</v>
      </c>
      <c r="B199" s="16"/>
      <c r="C199" s="25">
        <f t="shared" si="8"/>
        <v>2.166E-07</v>
      </c>
      <c r="D199" s="18"/>
      <c r="E199" s="25">
        <f>Dimensions!$D$33*A199*A199*A199*0.000000000000000001</f>
        <v>1.0987063543752661E-08</v>
      </c>
      <c r="F199" s="25">
        <f t="shared" si="9"/>
        <v>19.71409368276209</v>
      </c>
      <c r="G199" s="25">
        <f>Dimensions!$D$36*F199</f>
        <v>1971.409368276209</v>
      </c>
      <c r="H199" s="18"/>
      <c r="I199" s="25">
        <f>Dimensions!$D$34*A199*A199*A199*0.000000000000000001</f>
        <v>1.648059531562899E-08</v>
      </c>
      <c r="J199" s="25">
        <f t="shared" si="10"/>
        <v>13.142729121841393</v>
      </c>
      <c r="K199" s="25">
        <f>Dimensions!$D$37*J199</f>
        <v>1971.4093682762086</v>
      </c>
    </row>
    <row r="200" spans="1:11" ht="10.5">
      <c r="A200" s="34">
        <f t="shared" si="11"/>
        <v>191</v>
      </c>
      <c r="B200" s="16"/>
      <c r="C200" s="25">
        <f t="shared" si="8"/>
        <v>2.18886E-07</v>
      </c>
      <c r="D200" s="18"/>
      <c r="E200" s="25">
        <f>Dimensions!$D$33*A200*A200*A200*0.000000000000000001</f>
        <v>1.1161458148661816E-08</v>
      </c>
      <c r="F200" s="25">
        <f t="shared" si="9"/>
        <v>19.61087853259056</v>
      </c>
      <c r="G200" s="25">
        <f>Dimensions!$D$36*F200</f>
        <v>1961.0878532590561</v>
      </c>
      <c r="H200" s="18"/>
      <c r="I200" s="25">
        <f>Dimensions!$D$34*A200*A200*A200*0.000000000000000001</f>
        <v>1.674218722299272E-08</v>
      </c>
      <c r="J200" s="25">
        <f t="shared" si="10"/>
        <v>13.073919021727043</v>
      </c>
      <c r="K200" s="25">
        <f>Dimensions!$D$37*J200</f>
        <v>1961.0878532590561</v>
      </c>
    </row>
    <row r="201" spans="1:11" ht="10.5">
      <c r="A201" s="34">
        <f t="shared" si="11"/>
        <v>192</v>
      </c>
      <c r="B201" s="16"/>
      <c r="C201" s="25">
        <f t="shared" si="8"/>
        <v>2.21184E-07</v>
      </c>
      <c r="D201" s="18"/>
      <c r="E201" s="25">
        <f>Dimensions!$D$33*A201*A201*A201*0.000000000000000001</f>
        <v>1.1337688469392686E-08</v>
      </c>
      <c r="F201" s="25">
        <f t="shared" si="9"/>
        <v>19.508738540233317</v>
      </c>
      <c r="G201" s="25">
        <f>Dimensions!$D$36*F201</f>
        <v>1950.8738540233317</v>
      </c>
      <c r="H201" s="18"/>
      <c r="I201" s="25">
        <f>Dimensions!$D$34*A201*A201*A201*0.000000000000000001</f>
        <v>1.7006532704089028E-08</v>
      </c>
      <c r="J201" s="25">
        <f t="shared" si="10"/>
        <v>13.00582569348888</v>
      </c>
      <c r="K201" s="25">
        <f>Dimensions!$D$37*J201</f>
        <v>1950.8738540233317</v>
      </c>
    </row>
    <row r="202" spans="1:11" ht="10.5">
      <c r="A202" s="34">
        <f t="shared" si="11"/>
        <v>193</v>
      </c>
      <c r="B202" s="16"/>
      <c r="C202" s="25">
        <f t="shared" si="8"/>
        <v>2.23494E-07</v>
      </c>
      <c r="D202" s="18"/>
      <c r="E202" s="25">
        <f>Dimensions!$D$33*A202*A202*A202*0.000000000000000001</f>
        <v>1.1515764117022872E-08</v>
      </c>
      <c r="F202" s="25">
        <f t="shared" si="9"/>
        <v>19.40765699339273</v>
      </c>
      <c r="G202" s="25">
        <f>Dimensions!$D$36*F202</f>
        <v>1940.7656993392732</v>
      </c>
      <c r="H202" s="18"/>
      <c r="I202" s="25">
        <f>Dimensions!$D$34*A202*A202*A202*0.000000000000000001</f>
        <v>1.7273646175534306E-08</v>
      </c>
      <c r="J202" s="25">
        <f t="shared" si="10"/>
        <v>12.938437995595155</v>
      </c>
      <c r="K202" s="25">
        <f>Dimensions!$D$37*J202</f>
        <v>1940.765699339273</v>
      </c>
    </row>
    <row r="203" spans="1:11" ht="10.5">
      <c r="A203" s="34">
        <f t="shared" si="11"/>
        <v>194</v>
      </c>
      <c r="B203" s="16"/>
      <c r="C203" s="25">
        <f aca="true" t="shared" si="12" ref="C203:C266">6*A203*A203*0.000000000001</f>
        <v>2.25816E-07</v>
      </c>
      <c r="D203" s="18"/>
      <c r="E203" s="25">
        <f>Dimensions!$D$33*A203*A203*A203*0.000000000000000001</f>
        <v>1.169569470262997E-08</v>
      </c>
      <c r="F203" s="25">
        <f aca="true" t="shared" si="13" ref="F203:F266">C203/E203</f>
        <v>19.307617524354626</v>
      </c>
      <c r="G203" s="25">
        <f>Dimensions!$D$36*F203</f>
        <v>1930.7617524354625</v>
      </c>
      <c r="H203" s="18"/>
      <c r="I203" s="25">
        <f>Dimensions!$D$34*A203*A203*A203*0.000000000000000001</f>
        <v>1.754354205394496E-08</v>
      </c>
      <c r="J203" s="25">
        <f aca="true" t="shared" si="14" ref="J203:J266">C203/I203</f>
        <v>12.871745016236416</v>
      </c>
      <c r="K203" s="25">
        <f>Dimensions!$D$37*J203</f>
        <v>1930.7617524354619</v>
      </c>
    </row>
    <row r="204" spans="1:11" ht="10.5">
      <c r="A204" s="34">
        <f aca="true" t="shared" si="15" ref="A204:A267">A203+1</f>
        <v>195</v>
      </c>
      <c r="B204" s="16"/>
      <c r="C204" s="25">
        <f t="shared" si="12"/>
        <v>2.2815E-07</v>
      </c>
      <c r="D204" s="18"/>
      <c r="E204" s="25">
        <f>Dimensions!$D$33*A204*A204*A204*0.000000000000000001</f>
        <v>1.187748983729159E-08</v>
      </c>
      <c r="F204" s="25">
        <f t="shared" si="13"/>
        <v>19.208604101152805</v>
      </c>
      <c r="G204" s="25">
        <f>Dimensions!$D$36*F204</f>
        <v>1920.8604101152805</v>
      </c>
      <c r="H204" s="18"/>
      <c r="I204" s="25">
        <f>Dimensions!$D$34*A204*A204*A204*0.000000000000000001</f>
        <v>1.7816234755937383E-08</v>
      </c>
      <c r="J204" s="25">
        <f t="shared" si="14"/>
        <v>12.805736067435204</v>
      </c>
      <c r="K204" s="25">
        <f>Dimensions!$D$37*J204</f>
        <v>1920.8604101152803</v>
      </c>
    </row>
    <row r="205" spans="1:11" ht="10.5">
      <c r="A205" s="34">
        <f t="shared" si="15"/>
        <v>196</v>
      </c>
      <c r="B205" s="16"/>
      <c r="C205" s="25">
        <f t="shared" si="12"/>
        <v>2.30496E-07</v>
      </c>
      <c r="D205" s="18"/>
      <c r="E205" s="25">
        <f>Dimensions!$D$33*A205*A205*A205*0.000000000000000001</f>
        <v>1.2061159132085324E-08</v>
      </c>
      <c r="F205" s="25">
        <f t="shared" si="13"/>
        <v>19.11060101900407</v>
      </c>
      <c r="G205" s="25">
        <f>Dimensions!$D$36*F205</f>
        <v>1911.0601019004068</v>
      </c>
      <c r="H205" s="18"/>
      <c r="I205" s="25">
        <f>Dimensions!$D$34*A205*A205*A205*0.000000000000000001</f>
        <v>1.8091738698127983E-08</v>
      </c>
      <c r="J205" s="25">
        <f t="shared" si="14"/>
        <v>12.740400679336046</v>
      </c>
      <c r="K205" s="25">
        <f>Dimensions!$D$37*J205</f>
        <v>1911.0601019004066</v>
      </c>
    </row>
    <row r="206" spans="1:11" ht="10.5">
      <c r="A206" s="34">
        <f t="shared" si="15"/>
        <v>197</v>
      </c>
      <c r="B206" s="16"/>
      <c r="C206" s="25">
        <f t="shared" si="12"/>
        <v>2.32854E-07</v>
      </c>
      <c r="D206" s="18"/>
      <c r="E206" s="25">
        <f>Dimensions!$D$33*A206*A206*A206*0.000000000000000001</f>
        <v>1.2246712198088776E-08</v>
      </c>
      <c r="F206" s="25">
        <f t="shared" si="13"/>
        <v>19.01359289200405</v>
      </c>
      <c r="G206" s="25">
        <f>Dimensions!$D$36*F206</f>
        <v>1901.3592892004049</v>
      </c>
      <c r="H206" s="18"/>
      <c r="I206" s="25">
        <f>Dimensions!$D$34*A206*A206*A206*0.000000000000000001</f>
        <v>1.8370068297133166E-08</v>
      </c>
      <c r="J206" s="25">
        <f t="shared" si="14"/>
        <v>12.675728594669362</v>
      </c>
      <c r="K206" s="25">
        <f>Dimensions!$D$37*J206</f>
        <v>1901.359289200404</v>
      </c>
    </row>
    <row r="207" spans="1:11" ht="10.5">
      <c r="A207" s="34">
        <f t="shared" si="15"/>
        <v>198</v>
      </c>
      <c r="B207" s="16"/>
      <c r="C207" s="25">
        <f t="shared" si="12"/>
        <v>2.35224E-07</v>
      </c>
      <c r="D207" s="18"/>
      <c r="E207" s="25">
        <f>Dimensions!$D$33*A207*A207*A207*0.000000000000000001</f>
        <v>1.2434158646379549E-08</v>
      </c>
      <c r="F207" s="25">
        <f t="shared" si="13"/>
        <v>18.917564645074727</v>
      </c>
      <c r="G207" s="25">
        <f>Dimensions!$D$36*F207</f>
        <v>1891.7564645074726</v>
      </c>
      <c r="H207" s="18"/>
      <c r="I207" s="25">
        <f>Dimensions!$D$34*A207*A207*A207*0.000000000000000001</f>
        <v>1.8651237969569318E-08</v>
      </c>
      <c r="J207" s="25">
        <f t="shared" si="14"/>
        <v>12.611709763383155</v>
      </c>
      <c r="K207" s="25">
        <f>Dimensions!$D$37*J207</f>
        <v>1891.7564645074729</v>
      </c>
    </row>
    <row r="208" spans="1:11" ht="10.5">
      <c r="A208" s="34">
        <f t="shared" si="15"/>
        <v>199</v>
      </c>
      <c r="B208" s="16"/>
      <c r="C208" s="25">
        <f t="shared" si="12"/>
        <v>2.37606E-07</v>
      </c>
      <c r="D208" s="18"/>
      <c r="E208" s="25">
        <f>Dimensions!$D$33*A208*A208*A208*0.000000000000000001</f>
        <v>1.2623508088035238E-08</v>
      </c>
      <c r="F208" s="25">
        <f t="shared" si="13"/>
        <v>18.822501506154754</v>
      </c>
      <c r="G208" s="25">
        <f>Dimensions!$D$36*F208</f>
        <v>1882.2501506154754</v>
      </c>
      <c r="H208" s="18"/>
      <c r="I208" s="25">
        <f>Dimensions!$D$34*A208*A208*A208*0.000000000000000001</f>
        <v>1.893526213205285E-08</v>
      </c>
      <c r="J208" s="25">
        <f t="shared" si="14"/>
        <v>12.548334337436506</v>
      </c>
      <c r="K208" s="25">
        <f>Dimensions!$D$37*J208</f>
        <v>1882.2501506154756</v>
      </c>
    </row>
    <row r="209" spans="1:11" ht="10.5">
      <c r="A209" s="34">
        <f t="shared" si="15"/>
        <v>200</v>
      </c>
      <c r="B209" s="16"/>
      <c r="C209" s="25">
        <f t="shared" si="12"/>
        <v>2.4E-07</v>
      </c>
      <c r="D209" s="18"/>
      <c r="E209" s="25">
        <f>Dimensions!$D$33*A209*A209*A209*0.000000000000000001</f>
        <v>1.2814770134133445E-08</v>
      </c>
      <c r="F209" s="25">
        <f t="shared" si="13"/>
        <v>18.72838899862398</v>
      </c>
      <c r="G209" s="25">
        <f>Dimensions!$D$36*F209</f>
        <v>1872.838899862398</v>
      </c>
      <c r="H209" s="18"/>
      <c r="I209" s="25">
        <f>Dimensions!$D$34*A209*A209*A209*0.000000000000000001</f>
        <v>1.9222155201200168E-08</v>
      </c>
      <c r="J209" s="25">
        <f t="shared" si="14"/>
        <v>12.485592665749321</v>
      </c>
      <c r="K209" s="25">
        <f>Dimensions!$D$37*J209</f>
        <v>1872.8388998623977</v>
      </c>
    </row>
    <row r="210" spans="1:11" ht="10.5">
      <c r="A210" s="34">
        <f t="shared" si="15"/>
        <v>201</v>
      </c>
      <c r="B210" s="16"/>
      <c r="C210" s="25">
        <f t="shared" si="12"/>
        <v>2.42406E-07</v>
      </c>
      <c r="D210" s="18"/>
      <c r="E210" s="25">
        <f>Dimensions!$D$33*A210*A210*A210*0.000000000000000001</f>
        <v>1.3007954395751774E-08</v>
      </c>
      <c r="F210" s="25">
        <f t="shared" si="13"/>
        <v>18.63521293395421</v>
      </c>
      <c r="G210" s="25">
        <f>Dimensions!$D$36*F210</f>
        <v>1863.521293395421</v>
      </c>
      <c r="H210" s="18"/>
      <c r="I210" s="25">
        <f>Dimensions!$D$34*A210*A210*A210*0.000000000000000001</f>
        <v>1.9511931593627656E-08</v>
      </c>
      <c r="J210" s="25">
        <f t="shared" si="14"/>
        <v>12.42347528930281</v>
      </c>
      <c r="K210" s="25">
        <f>Dimensions!$D$37*J210</f>
        <v>1863.5212933954213</v>
      </c>
    </row>
    <row r="211" spans="1:11" ht="10.5">
      <c r="A211" s="34">
        <f t="shared" si="15"/>
        <v>202</v>
      </c>
      <c r="B211" s="16"/>
      <c r="C211" s="25">
        <f t="shared" si="12"/>
        <v>2.44824E-07</v>
      </c>
      <c r="D211" s="18"/>
      <c r="E211" s="25">
        <f>Dimensions!$D$33*A211*A211*A211*0.000000000000000001</f>
        <v>1.3203070483967822E-08</v>
      </c>
      <c r="F211" s="25">
        <f t="shared" si="13"/>
        <v>18.542959404578202</v>
      </c>
      <c r="G211" s="25">
        <f>Dimensions!$D$36*F211</f>
        <v>1854.2959404578203</v>
      </c>
      <c r="H211" s="18"/>
      <c r="I211" s="25">
        <f>Dimensions!$D$34*A211*A211*A211*0.000000000000000001</f>
        <v>1.980460572595173E-08</v>
      </c>
      <c r="J211" s="25">
        <f t="shared" si="14"/>
        <v>12.36197293638547</v>
      </c>
      <c r="K211" s="25">
        <f>Dimensions!$D$37*J211</f>
        <v>1854.2959404578203</v>
      </c>
    </row>
    <row r="212" spans="1:11" ht="10.5">
      <c r="A212" s="34">
        <f t="shared" si="15"/>
        <v>203</v>
      </c>
      <c r="B212" s="16"/>
      <c r="C212" s="25">
        <f t="shared" si="12"/>
        <v>2.47254E-07</v>
      </c>
      <c r="D212" s="18"/>
      <c r="E212" s="25">
        <f>Dimensions!$D$33*A212*A212*A212*0.000000000000000001</f>
        <v>1.3400128009859191E-08</v>
      </c>
      <c r="F212" s="25">
        <f t="shared" si="13"/>
        <v>18.451614776969443</v>
      </c>
      <c r="G212" s="25">
        <f>Dimensions!$D$36*F212</f>
        <v>1845.1614776969443</v>
      </c>
      <c r="H212" s="18"/>
      <c r="I212" s="25">
        <f>Dimensions!$D$34*A212*A212*A212*0.000000000000000001</f>
        <v>2.0100192014788785E-08</v>
      </c>
      <c r="J212" s="25">
        <f t="shared" si="14"/>
        <v>12.30107651797963</v>
      </c>
      <c r="K212" s="25">
        <f>Dimensions!$D$37*J212</f>
        <v>1845.1614776969443</v>
      </c>
    </row>
    <row r="213" spans="1:11" ht="10.5">
      <c r="A213" s="34">
        <f t="shared" si="15"/>
        <v>204</v>
      </c>
      <c r="B213" s="16"/>
      <c r="C213" s="25">
        <f t="shared" si="12"/>
        <v>2.49696E-07</v>
      </c>
      <c r="D213" s="18"/>
      <c r="E213" s="25">
        <f>Dimensions!$D$33*A213*A213*A213*0.000000000000000001</f>
        <v>1.3599136584503486E-08</v>
      </c>
      <c r="F213" s="25">
        <f t="shared" si="13"/>
        <v>18.361165684925474</v>
      </c>
      <c r="G213" s="25">
        <f>Dimensions!$D$36*F213</f>
        <v>1836.1165684925475</v>
      </c>
      <c r="H213" s="18"/>
      <c r="I213" s="25">
        <f>Dimensions!$D$34*A213*A213*A213*0.000000000000000001</f>
        <v>2.0398704876755225E-08</v>
      </c>
      <c r="J213" s="25">
        <f t="shared" si="14"/>
        <v>12.240777123283651</v>
      </c>
      <c r="K213" s="25">
        <f>Dimensions!$D$37*J213</f>
        <v>1836.1165684925475</v>
      </c>
    </row>
    <row r="214" spans="1:11" ht="10.5">
      <c r="A214" s="34">
        <f t="shared" si="15"/>
        <v>205</v>
      </c>
      <c r="B214" s="16"/>
      <c r="C214" s="25">
        <f t="shared" si="12"/>
        <v>2.5215E-07</v>
      </c>
      <c r="D214" s="18"/>
      <c r="E214" s="25">
        <f>Dimensions!$D$33*A214*A214*A214*0.000000000000000001</f>
        <v>1.38001058189783E-08</v>
      </c>
      <c r="F214" s="25">
        <f t="shared" si="13"/>
        <v>18.271599023047788</v>
      </c>
      <c r="G214" s="25">
        <f>Dimensions!$D$36*F214</f>
        <v>1827.1599023047788</v>
      </c>
      <c r="H214" s="18"/>
      <c r="I214" s="25">
        <f>Dimensions!$D$34*A214*A214*A214*0.000000000000000001</f>
        <v>2.0700158728467447E-08</v>
      </c>
      <c r="J214" s="25">
        <f t="shared" si="14"/>
        <v>12.181066015365193</v>
      </c>
      <c r="K214" s="25">
        <f>Dimensions!$D$37*J214</f>
        <v>1827.1599023047786</v>
      </c>
    </row>
    <row r="215" spans="1:11" ht="10.5">
      <c r="A215" s="34">
        <f t="shared" si="15"/>
        <v>206</v>
      </c>
      <c r="B215" s="16"/>
      <c r="C215" s="25">
        <f t="shared" si="12"/>
        <v>2.54616E-07</v>
      </c>
      <c r="D215" s="18"/>
      <c r="E215" s="25">
        <f>Dimensions!$D$33*A215*A215*A215*0.000000000000000001</f>
        <v>1.4003045324361234E-08</v>
      </c>
      <c r="F215" s="25">
        <f t="shared" si="13"/>
        <v>18.182901940411636</v>
      </c>
      <c r="G215" s="25">
        <f>Dimensions!$D$36*F215</f>
        <v>1818.2901940411637</v>
      </c>
      <c r="H215" s="18"/>
      <c r="I215" s="25">
        <f>Dimensions!$D$34*A215*A215*A215*0.000000000000000001</f>
        <v>2.1004567986541854E-08</v>
      </c>
      <c r="J215" s="25">
        <f t="shared" si="14"/>
        <v>12.121934626941089</v>
      </c>
      <c r="K215" s="25">
        <f>Dimensions!$D$37*J215</f>
        <v>1818.290194041163</v>
      </c>
    </row>
    <row r="216" spans="1:11" ht="10.5">
      <c r="A216" s="34">
        <f t="shared" si="15"/>
        <v>207</v>
      </c>
      <c r="B216" s="16"/>
      <c r="C216" s="25">
        <f t="shared" si="12"/>
        <v>2.57094E-07</v>
      </c>
      <c r="D216" s="18"/>
      <c r="E216" s="25">
        <f>Dimensions!$D$33*A216*A216*A216*0.000000000000000001</f>
        <v>1.42079647117299E-08</v>
      </c>
      <c r="F216" s="25">
        <f t="shared" si="13"/>
        <v>18.095061834419305</v>
      </c>
      <c r="G216" s="25">
        <f>Dimensions!$D$36*F216</f>
        <v>1809.5061834419305</v>
      </c>
      <c r="H216" s="18"/>
      <c r="I216" s="25">
        <f>Dimensions!$D$34*A216*A216*A216*0.000000000000000001</f>
        <v>2.1311947067594843E-08</v>
      </c>
      <c r="J216" s="25">
        <f t="shared" si="14"/>
        <v>12.063374556279541</v>
      </c>
      <c r="K216" s="25">
        <f>Dimensions!$D$37*J216</f>
        <v>1809.5061834419307</v>
      </c>
    </row>
    <row r="217" spans="1:11" ht="10.5">
      <c r="A217" s="34">
        <f t="shared" si="15"/>
        <v>208</v>
      </c>
      <c r="B217" s="16"/>
      <c r="C217" s="25">
        <f t="shared" si="12"/>
        <v>2.59584E-07</v>
      </c>
      <c r="D217" s="18"/>
      <c r="E217" s="25">
        <f>Dimensions!$D$33*A217*A217*A217*0.000000000000000001</f>
        <v>1.4414873592161883E-08</v>
      </c>
      <c r="F217" s="25">
        <f t="shared" si="13"/>
        <v>18.008066344830755</v>
      </c>
      <c r="G217" s="25">
        <f>Dimensions!$D$36*F217</f>
        <v>1800.8066344830756</v>
      </c>
      <c r="H217" s="18"/>
      <c r="I217" s="25">
        <f>Dimensions!$D$34*A217*A217*A217*0.000000000000000001</f>
        <v>2.1622310388242822E-08</v>
      </c>
      <c r="J217" s="25">
        <f t="shared" si="14"/>
        <v>12.005377563220504</v>
      </c>
      <c r="K217" s="25">
        <f>Dimensions!$D$37*J217</f>
        <v>1800.8066344830752</v>
      </c>
    </row>
    <row r="218" spans="1:11" ht="10.5">
      <c r="A218" s="34">
        <f t="shared" si="15"/>
        <v>209</v>
      </c>
      <c r="B218" s="16"/>
      <c r="C218" s="25">
        <f t="shared" si="12"/>
        <v>2.62086E-07</v>
      </c>
      <c r="D218" s="18"/>
      <c r="E218" s="25">
        <f>Dimensions!$D$33*A218*A218*A218*0.000000000000000001</f>
        <v>1.4623781576734793E-08</v>
      </c>
      <c r="F218" s="25">
        <f t="shared" si="13"/>
        <v>17.921903347965532</v>
      </c>
      <c r="G218" s="25">
        <f>Dimensions!$D$36*F218</f>
        <v>1792.1903347965533</v>
      </c>
      <c r="H218" s="18"/>
      <c r="I218" s="25">
        <f>Dimensions!$D$34*A218*A218*A218*0.000000000000000001</f>
        <v>2.193567236510219E-08</v>
      </c>
      <c r="J218" s="25">
        <f t="shared" si="14"/>
        <v>11.947935565310356</v>
      </c>
      <c r="K218" s="25">
        <f>Dimensions!$D$37*J218</f>
        <v>1792.190334796553</v>
      </c>
    </row>
    <row r="219" spans="1:11" ht="10.5">
      <c r="A219" s="34">
        <f t="shared" si="15"/>
        <v>210</v>
      </c>
      <c r="B219" s="16"/>
      <c r="C219" s="25">
        <f t="shared" si="12"/>
        <v>2.646E-07</v>
      </c>
      <c r="D219" s="18"/>
      <c r="E219" s="25">
        <f>Dimensions!$D$33*A219*A219*A219*0.000000000000000001</f>
        <v>1.4834698276526229E-08</v>
      </c>
      <c r="F219" s="25">
        <f t="shared" si="13"/>
        <v>17.83656095107046</v>
      </c>
      <c r="G219" s="25">
        <f>Dimensions!$D$36*F219</f>
        <v>1783.656095107046</v>
      </c>
      <c r="H219" s="18"/>
      <c r="I219" s="25">
        <f>Dimensions!$D$34*A219*A219*A219*0.000000000000000001</f>
        <v>2.225204741478934E-08</v>
      </c>
      <c r="J219" s="25">
        <f t="shared" si="14"/>
        <v>11.891040634046975</v>
      </c>
      <c r="K219" s="25">
        <f>Dimensions!$D$37*J219</f>
        <v>1783.656095107046</v>
      </c>
    </row>
    <row r="220" spans="1:11" ht="10.5">
      <c r="A220" s="34">
        <f t="shared" si="15"/>
        <v>211</v>
      </c>
      <c r="B220" s="16"/>
      <c r="C220" s="25">
        <f t="shared" si="12"/>
        <v>2.67126E-07</v>
      </c>
      <c r="D220" s="18"/>
      <c r="E220" s="25">
        <f>Dimensions!$D$33*A220*A220*A220*0.000000000000000001</f>
        <v>1.504763330261379E-08</v>
      </c>
      <c r="F220" s="25">
        <f t="shared" si="13"/>
        <v>17.75202748684738</v>
      </c>
      <c r="G220" s="25">
        <f>Dimensions!$D$36*F220</f>
        <v>1775.2027486847378</v>
      </c>
      <c r="H220" s="18"/>
      <c r="I220" s="25">
        <f>Dimensions!$D$34*A220*A220*A220*0.000000000000000001</f>
        <v>2.2571449953920682E-08</v>
      </c>
      <c r="J220" s="25">
        <f t="shared" si="14"/>
        <v>11.834684991231587</v>
      </c>
      <c r="K220" s="25">
        <f>Dimensions!$D$37*J220</f>
        <v>1775.2027486847376</v>
      </c>
    </row>
    <row r="221" spans="1:11" ht="10.5">
      <c r="A221" s="34">
        <f t="shared" si="15"/>
        <v>212</v>
      </c>
      <c r="B221" s="16"/>
      <c r="C221" s="25">
        <f t="shared" si="12"/>
        <v>2.69664E-07</v>
      </c>
      <c r="D221" s="18"/>
      <c r="E221" s="25">
        <f>Dimensions!$D$33*A221*A221*A221*0.000000000000000001</f>
        <v>1.5262596266075078E-08</v>
      </c>
      <c r="F221" s="25">
        <f t="shared" si="13"/>
        <v>17.668291508135834</v>
      </c>
      <c r="G221" s="25">
        <f>Dimensions!$D$36*F221</f>
        <v>1766.8291508135833</v>
      </c>
      <c r="H221" s="18"/>
      <c r="I221" s="25">
        <f>Dimensions!$D$34*A221*A221*A221*0.000000000000000001</f>
        <v>2.2893894399112616E-08</v>
      </c>
      <c r="J221" s="25">
        <f t="shared" si="14"/>
        <v>11.77886100542389</v>
      </c>
      <c r="K221" s="25">
        <f>Dimensions!$D$37*J221</f>
        <v>1766.829150813583</v>
      </c>
    </row>
    <row r="222" spans="1:11" ht="10.5">
      <c r="A222" s="34">
        <f t="shared" si="15"/>
        <v>213</v>
      </c>
      <c r="B222" s="16"/>
      <c r="C222" s="25">
        <f t="shared" si="12"/>
        <v>2.72214E-07</v>
      </c>
      <c r="D222" s="18"/>
      <c r="E222" s="25">
        <f>Dimensions!$D$33*A222*A222*A222*0.000000000000000001</f>
        <v>1.5479596777987696E-08</v>
      </c>
      <c r="F222" s="25">
        <f t="shared" si="13"/>
        <v>17.585341782745523</v>
      </c>
      <c r="G222" s="25">
        <f>Dimensions!$D$36*F222</f>
        <v>1758.5341782745522</v>
      </c>
      <c r="H222" s="18"/>
      <c r="I222" s="25">
        <f>Dimensions!$D$34*A222*A222*A222*0.000000000000000001</f>
        <v>2.3219395166981542E-08</v>
      </c>
      <c r="J222" s="25">
        <f t="shared" si="14"/>
        <v>11.723561188497015</v>
      </c>
      <c r="K222" s="25">
        <f>Dimensions!$D$37*J222</f>
        <v>1758.534178274552</v>
      </c>
    </row>
    <row r="223" spans="1:11" ht="10.5">
      <c r="A223" s="34">
        <f t="shared" si="15"/>
        <v>214</v>
      </c>
      <c r="B223" s="16"/>
      <c r="C223" s="25">
        <f t="shared" si="12"/>
        <v>2.7477599999999997E-07</v>
      </c>
      <c r="D223" s="18"/>
      <c r="E223" s="25">
        <f>Dimensions!$D$33*A223*A223*A223*0.000000000000000001</f>
        <v>1.5698644449429236E-08</v>
      </c>
      <c r="F223" s="25">
        <f t="shared" si="13"/>
        <v>17.50316728843363</v>
      </c>
      <c r="G223" s="25">
        <f>Dimensions!$D$36*F223</f>
        <v>1750.316728843363</v>
      </c>
      <c r="H223" s="18"/>
      <c r="I223" s="25">
        <f>Dimensions!$D$34*A223*A223*A223*0.000000000000000001</f>
        <v>2.3547966674143854E-08</v>
      </c>
      <c r="J223" s="25">
        <f t="shared" si="14"/>
        <v>11.668778192289086</v>
      </c>
      <c r="K223" s="25">
        <f>Dimensions!$D$37*J223</f>
        <v>1750.3167288433626</v>
      </c>
    </row>
    <row r="224" spans="1:11" ht="10.5">
      <c r="A224" s="34">
        <f t="shared" si="15"/>
        <v>215</v>
      </c>
      <c r="B224" s="16"/>
      <c r="C224" s="25">
        <f t="shared" si="12"/>
        <v>2.7735E-07</v>
      </c>
      <c r="D224" s="18"/>
      <c r="E224" s="25">
        <f>Dimensions!$D$33*A224*A224*A224*0.000000000000000001</f>
        <v>1.5919748891477304E-08</v>
      </c>
      <c r="F224" s="25">
        <f t="shared" si="13"/>
        <v>17.421757208022314</v>
      </c>
      <c r="G224" s="25">
        <f>Dimensions!$D$36*F224</f>
        <v>1742.1757208022314</v>
      </c>
      <c r="H224" s="18"/>
      <c r="I224" s="25">
        <f>Dimensions!$D$34*A224*A224*A224*0.000000000000000001</f>
        <v>2.387962333721596E-08</v>
      </c>
      <c r="J224" s="25">
        <f t="shared" si="14"/>
        <v>11.614504805348208</v>
      </c>
      <c r="K224" s="25">
        <f>Dimensions!$D$37*J224</f>
        <v>1742.175720802231</v>
      </c>
    </row>
    <row r="225" spans="1:11" ht="10.5">
      <c r="A225" s="34">
        <f t="shared" si="15"/>
        <v>216</v>
      </c>
      <c r="B225" s="16"/>
      <c r="C225" s="25">
        <f t="shared" si="12"/>
        <v>2.79936E-07</v>
      </c>
      <c r="D225" s="18"/>
      <c r="E225" s="25">
        <f>Dimensions!$D$33*A225*A225*A225*0.000000000000000001</f>
        <v>1.614291971520951E-08</v>
      </c>
      <c r="F225" s="25">
        <f t="shared" si="13"/>
        <v>17.341100924651837</v>
      </c>
      <c r="G225" s="25">
        <f>Dimensions!$D$36*F225</f>
        <v>1734.1100924651837</v>
      </c>
      <c r="H225" s="18"/>
      <c r="I225" s="25">
        <f>Dimensions!$D$34*A225*A225*A225*0.000000000000000001</f>
        <v>2.421437957281426E-08</v>
      </c>
      <c r="J225" s="25">
        <f t="shared" si="14"/>
        <v>11.560733949767894</v>
      </c>
      <c r="K225" s="25">
        <f>Dimensions!$D$37*J225</f>
        <v>1734.1100924651837</v>
      </c>
    </row>
    <row r="226" spans="1:11" ht="10.5">
      <c r="A226" s="34">
        <f t="shared" si="15"/>
        <v>217</v>
      </c>
      <c r="B226" s="16"/>
      <c r="C226" s="25">
        <f t="shared" si="12"/>
        <v>2.82534E-07</v>
      </c>
      <c r="D226" s="18"/>
      <c r="E226" s="25">
        <f>Dimensions!$D$33*A226*A226*A226*0.000000000000000001</f>
        <v>1.636816653170344E-08</v>
      </c>
      <c r="F226" s="25">
        <f t="shared" si="13"/>
        <v>17.26118801716496</v>
      </c>
      <c r="G226" s="25">
        <f>Dimensions!$D$36*F226</f>
        <v>1726.1188017164961</v>
      </c>
      <c r="H226" s="18"/>
      <c r="I226" s="25">
        <f>Dimensions!$D$34*A226*A226*A226*0.000000000000000001</f>
        <v>2.455224979755516E-08</v>
      </c>
      <c r="J226" s="25">
        <f t="shared" si="14"/>
        <v>11.507458678109975</v>
      </c>
      <c r="K226" s="25">
        <f>Dimensions!$D$37*J226</f>
        <v>1726.118801716496</v>
      </c>
    </row>
    <row r="227" spans="1:11" ht="10.5">
      <c r="A227" s="34">
        <f t="shared" si="15"/>
        <v>218</v>
      </c>
      <c r="B227" s="16"/>
      <c r="C227" s="25">
        <f t="shared" si="12"/>
        <v>2.85144E-07</v>
      </c>
      <c r="D227" s="18"/>
      <c r="E227" s="25">
        <f>Dimensions!$D$33*A227*A227*A227*0.000000000000000001</f>
        <v>1.65954989520367E-08</v>
      </c>
      <c r="F227" s="25">
        <f t="shared" si="13"/>
        <v>17.18200825561833</v>
      </c>
      <c r="G227" s="25">
        <f>Dimensions!$D$36*F227</f>
        <v>1718.2008255618332</v>
      </c>
      <c r="H227" s="18"/>
      <c r="I227" s="25">
        <f>Dimensions!$D$34*A227*A227*A227*0.000000000000000001</f>
        <v>2.4893248428055048E-08</v>
      </c>
      <c r="J227" s="25">
        <f t="shared" si="14"/>
        <v>11.454672170412223</v>
      </c>
      <c r="K227" s="25">
        <f>Dimensions!$D$37*J227</f>
        <v>1718.2008255618332</v>
      </c>
    </row>
    <row r="228" spans="1:11" ht="10.5">
      <c r="A228" s="34">
        <f t="shared" si="15"/>
        <v>219</v>
      </c>
      <c r="B228" s="16"/>
      <c r="C228" s="25">
        <f t="shared" si="12"/>
        <v>2.87766E-07</v>
      </c>
      <c r="D228" s="18"/>
      <c r="E228" s="25">
        <f>Dimensions!$D$33*A228*A228*A228*0.000000000000000001</f>
        <v>1.6824926587286892E-08</v>
      </c>
      <c r="F228" s="25">
        <f t="shared" si="13"/>
        <v>17.10355159691688</v>
      </c>
      <c r="G228" s="25">
        <f>Dimensions!$D$36*F228</f>
        <v>1710.355159691688</v>
      </c>
      <c r="H228" s="18"/>
      <c r="I228" s="25">
        <f>Dimensions!$D$34*A228*A228*A228*0.000000000000000001</f>
        <v>2.5237389880930333E-08</v>
      </c>
      <c r="J228" s="25">
        <f t="shared" si="14"/>
        <v>11.402367731277922</v>
      </c>
      <c r="K228" s="25">
        <f>Dimensions!$D$37*J228</f>
        <v>1710.355159691688</v>
      </c>
    </row>
    <row r="229" spans="1:11" ht="10.5">
      <c r="A229" s="34">
        <f t="shared" si="15"/>
        <v>220</v>
      </c>
      <c r="B229" s="16"/>
      <c r="C229" s="25">
        <f t="shared" si="12"/>
        <v>2.904E-07</v>
      </c>
      <c r="D229" s="18"/>
      <c r="E229" s="25">
        <f>Dimensions!$D$33*A229*A229*A229*0.000000000000000001</f>
        <v>1.7056459048531614E-08</v>
      </c>
      <c r="F229" s="25">
        <f t="shared" si="13"/>
        <v>17.02580818056726</v>
      </c>
      <c r="G229" s="25">
        <f>Dimensions!$D$36*F229</f>
        <v>1702.580818056726</v>
      </c>
      <c r="H229" s="18"/>
      <c r="I229" s="25">
        <f>Dimensions!$D$34*A229*A229*A229*0.000000000000000001</f>
        <v>2.5584688572797418E-08</v>
      </c>
      <c r="J229" s="25">
        <f t="shared" si="14"/>
        <v>11.35053878704484</v>
      </c>
      <c r="K229" s="25">
        <f>Dimensions!$D$37*J229</f>
        <v>1702.5808180567258</v>
      </c>
    </row>
    <row r="230" spans="1:11" ht="10.5">
      <c r="A230" s="34">
        <f t="shared" si="15"/>
        <v>221</v>
      </c>
      <c r="B230" s="16"/>
      <c r="C230" s="25">
        <f t="shared" si="12"/>
        <v>2.93046E-07</v>
      </c>
      <c r="D230" s="18"/>
      <c r="E230" s="25">
        <f>Dimensions!$D$33*A230*A230*A230*0.000000000000000001</f>
        <v>1.729010594684847E-08</v>
      </c>
      <c r="F230" s="25">
        <f t="shared" si="13"/>
        <v>16.94876832454659</v>
      </c>
      <c r="G230" s="25">
        <f>Dimensions!$D$36*F230</f>
        <v>1694.876832454659</v>
      </c>
      <c r="H230" s="18"/>
      <c r="I230" s="25">
        <f>Dimensions!$D$34*A230*A230*A230*0.000000000000000001</f>
        <v>2.5935158920272704E-08</v>
      </c>
      <c r="J230" s="25">
        <f t="shared" si="14"/>
        <v>11.299178883031061</v>
      </c>
      <c r="K230" s="25">
        <f>Dimensions!$D$37*J230</f>
        <v>1694.8768324546588</v>
      </c>
    </row>
    <row r="231" spans="1:11" ht="10.5">
      <c r="A231" s="34">
        <f t="shared" si="15"/>
        <v>222</v>
      </c>
      <c r="B231" s="16"/>
      <c r="C231" s="25">
        <f t="shared" si="12"/>
        <v>2.95704E-07</v>
      </c>
      <c r="D231" s="18"/>
      <c r="E231" s="25">
        <f>Dimensions!$D$33*A231*A231*A231*0.000000000000000001</f>
        <v>1.7525876893315057E-08</v>
      </c>
      <c r="F231" s="25">
        <f t="shared" si="13"/>
        <v>16.872422521282868</v>
      </c>
      <c r="G231" s="25">
        <f>Dimensions!$D$36*F231</f>
        <v>1687.2422521282867</v>
      </c>
      <c r="H231" s="18"/>
      <c r="I231" s="25">
        <f>Dimensions!$D$34*A231*A231*A231*0.000000000000000001</f>
        <v>2.6288815339972577E-08</v>
      </c>
      <c r="J231" s="25">
        <f t="shared" si="14"/>
        <v>11.248281680855248</v>
      </c>
      <c r="K231" s="25">
        <f>Dimensions!$D$37*J231</f>
        <v>1687.242252128287</v>
      </c>
    </row>
    <row r="232" spans="1:11" ht="10.5">
      <c r="A232" s="34">
        <f t="shared" si="15"/>
        <v>223</v>
      </c>
      <c r="B232" s="16"/>
      <c r="C232" s="25">
        <f t="shared" si="12"/>
        <v>2.98374E-07</v>
      </c>
      <c r="D232" s="18"/>
      <c r="E232" s="25">
        <f>Dimensions!$D$33*A232*A232*A232*0.000000000000000001</f>
        <v>1.7763781499008976E-08</v>
      </c>
      <c r="F232" s="25">
        <f t="shared" si="13"/>
        <v>16.796761433743484</v>
      </c>
      <c r="G232" s="25">
        <f>Dimensions!$D$36*F232</f>
        <v>1679.6761433743484</v>
      </c>
      <c r="H232" s="18"/>
      <c r="I232" s="25">
        <f>Dimensions!$D$34*A232*A232*A232*0.000000000000000001</f>
        <v>2.664567224851346E-08</v>
      </c>
      <c r="J232" s="25">
        <f t="shared" si="14"/>
        <v>11.197840955828992</v>
      </c>
      <c r="K232" s="25">
        <f>Dimensions!$D$37*J232</f>
        <v>1679.6761433743486</v>
      </c>
    </row>
    <row r="233" spans="1:11" ht="10.5">
      <c r="A233" s="34">
        <f t="shared" si="15"/>
        <v>224</v>
      </c>
      <c r="B233" s="16"/>
      <c r="C233" s="25">
        <f t="shared" si="12"/>
        <v>3.01056E-07</v>
      </c>
      <c r="D233" s="18"/>
      <c r="E233" s="25">
        <f>Dimensions!$D$33*A233*A233*A233*0.000000000000000001</f>
        <v>1.8003829375007832E-08</v>
      </c>
      <c r="F233" s="25">
        <f t="shared" si="13"/>
        <v>16.721775891628557</v>
      </c>
      <c r="G233" s="25">
        <f>Dimensions!$D$36*F233</f>
        <v>1672.1775891628556</v>
      </c>
      <c r="H233" s="18"/>
      <c r="I233" s="25">
        <f>Dimensions!$D$34*A233*A233*A233*0.000000000000000001</f>
        <v>2.7005744062511744E-08</v>
      </c>
      <c r="J233" s="25">
        <f t="shared" si="14"/>
        <v>11.14785059441904</v>
      </c>
      <c r="K233" s="25">
        <f>Dimensions!$D$37*J233</f>
        <v>1672.1775891628556</v>
      </c>
    </row>
    <row r="234" spans="1:11" ht="10.5">
      <c r="A234" s="34">
        <f t="shared" si="15"/>
        <v>225</v>
      </c>
      <c r="B234" s="16"/>
      <c r="C234" s="25">
        <f t="shared" si="12"/>
        <v>3.0375E-07</v>
      </c>
      <c r="D234" s="18"/>
      <c r="E234" s="25">
        <f>Dimensions!$D$33*A234*A234*A234*0.000000000000000001</f>
        <v>1.824603013238922E-08</v>
      </c>
      <c r="F234" s="25">
        <f t="shared" si="13"/>
        <v>16.647456887665765</v>
      </c>
      <c r="G234" s="25">
        <f>Dimensions!$D$36*F234</f>
        <v>1664.7456887665764</v>
      </c>
      <c r="H234" s="18"/>
      <c r="I234" s="25">
        <f>Dimensions!$D$34*A234*A234*A234*0.000000000000000001</f>
        <v>2.736904519858383E-08</v>
      </c>
      <c r="J234" s="25">
        <f t="shared" si="14"/>
        <v>11.098304591777177</v>
      </c>
      <c r="K234" s="25">
        <f>Dimensions!$D$37*J234</f>
        <v>1664.7456887665762</v>
      </c>
    </row>
    <row r="235" spans="1:11" ht="10.5">
      <c r="A235" s="34">
        <f t="shared" si="15"/>
        <v>226</v>
      </c>
      <c r="B235" s="16"/>
      <c r="C235" s="25">
        <f t="shared" si="12"/>
        <v>3.06456E-07</v>
      </c>
      <c r="D235" s="18"/>
      <c r="E235" s="25">
        <f>Dimensions!$D$33*A235*A235*A235*0.000000000000000001</f>
        <v>1.8490393382230746E-08</v>
      </c>
      <c r="F235" s="25">
        <f t="shared" si="13"/>
        <v>16.573795574003526</v>
      </c>
      <c r="G235" s="25">
        <f>Dimensions!$D$36*F235</f>
        <v>1657.3795574003525</v>
      </c>
      <c r="H235" s="18"/>
      <c r="I235" s="25">
        <f>Dimensions!$D$34*A235*A235*A235*0.000000000000000001</f>
        <v>2.7735590073346117E-08</v>
      </c>
      <c r="J235" s="25">
        <f t="shared" si="14"/>
        <v>11.049197049335683</v>
      </c>
      <c r="K235" s="25">
        <f>Dimensions!$D$37*J235</f>
        <v>1657.3795574003523</v>
      </c>
    </row>
    <row r="236" spans="1:11" ht="10.5">
      <c r="A236" s="34">
        <f t="shared" si="15"/>
        <v>227</v>
      </c>
      <c r="B236" s="16"/>
      <c r="C236" s="25">
        <f t="shared" si="12"/>
        <v>3.09174E-07</v>
      </c>
      <c r="D236" s="18"/>
      <c r="E236" s="25">
        <f>Dimensions!$D$33*A236*A236*A236*0.000000000000000001</f>
        <v>1.8736928735610003E-08</v>
      </c>
      <c r="F236" s="25">
        <f t="shared" si="13"/>
        <v>16.50078325869955</v>
      </c>
      <c r="G236" s="25">
        <f>Dimensions!$D$36*F236</f>
        <v>1650.0783258699548</v>
      </c>
      <c r="H236" s="18"/>
      <c r="I236" s="25">
        <f>Dimensions!$D$34*A236*A236*A236*0.000000000000000001</f>
        <v>2.8105393103415E-08</v>
      </c>
      <c r="J236" s="25">
        <f t="shared" si="14"/>
        <v>11.000522172466367</v>
      </c>
      <c r="K236" s="25">
        <f>Dimensions!$D$37*J236</f>
        <v>1650.0783258699546</v>
      </c>
    </row>
    <row r="237" spans="1:11" ht="10.5">
      <c r="A237" s="34">
        <f t="shared" si="15"/>
        <v>228</v>
      </c>
      <c r="B237" s="16"/>
      <c r="C237" s="25">
        <f t="shared" si="12"/>
        <v>3.11904E-07</v>
      </c>
      <c r="D237" s="18"/>
      <c r="E237" s="25">
        <f>Dimensions!$D$33*A237*A237*A237*0.000000000000000001</f>
        <v>1.89856458036046E-08</v>
      </c>
      <c r="F237" s="25">
        <f t="shared" si="13"/>
        <v>16.42841140230174</v>
      </c>
      <c r="G237" s="25">
        <f>Dimensions!$D$36*F237</f>
        <v>1642.841140230174</v>
      </c>
      <c r="H237" s="18"/>
      <c r="I237" s="25">
        <f>Dimensions!$D$34*A237*A237*A237*0.000000000000000001</f>
        <v>2.8478468705406897E-08</v>
      </c>
      <c r="J237" s="25">
        <f t="shared" si="14"/>
        <v>10.952274268201162</v>
      </c>
      <c r="K237" s="25">
        <f>Dimensions!$D$37*J237</f>
        <v>1642.841140230174</v>
      </c>
    </row>
    <row r="238" spans="1:11" ht="10.5">
      <c r="A238" s="34">
        <f t="shared" si="15"/>
        <v>229</v>
      </c>
      <c r="B238" s="16"/>
      <c r="C238" s="25">
        <f t="shared" si="12"/>
        <v>3.1464599999999997E-07</v>
      </c>
      <c r="D238" s="18"/>
      <c r="E238" s="25">
        <f>Dimensions!$D$33*A238*A238*A238*0.000000000000000001</f>
        <v>1.923655419729213E-08</v>
      </c>
      <c r="F238" s="25">
        <f t="shared" si="13"/>
        <v>16.356671614518763</v>
      </c>
      <c r="G238" s="25">
        <f>Dimensions!$D$36*F238</f>
        <v>1635.6671614518764</v>
      </c>
      <c r="H238" s="18"/>
      <c r="I238" s="25">
        <f>Dimensions!$D$34*A238*A238*A238*0.000000000000000001</f>
        <v>2.8854831295938196E-08</v>
      </c>
      <c r="J238" s="25">
        <f t="shared" si="14"/>
        <v>10.90444774301251</v>
      </c>
      <c r="K238" s="25">
        <f>Dimensions!$D$37*J238</f>
        <v>1635.6671614518762</v>
      </c>
    </row>
    <row r="239" spans="1:11" ht="10.5">
      <c r="A239" s="34">
        <f t="shared" si="15"/>
        <v>230</v>
      </c>
      <c r="B239" s="16"/>
      <c r="C239" s="25">
        <f t="shared" si="12"/>
        <v>3.1739999999999997E-07</v>
      </c>
      <c r="D239" s="18"/>
      <c r="E239" s="25">
        <f>Dimensions!$D$33*A239*A239*A239*0.000000000000000001</f>
        <v>1.94896635277502E-08</v>
      </c>
      <c r="F239" s="25">
        <f t="shared" si="13"/>
        <v>16.28555565097738</v>
      </c>
      <c r="G239" s="25">
        <f>Dimensions!$D$36*F239</f>
        <v>1628.5555650977378</v>
      </c>
      <c r="H239" s="18"/>
      <c r="I239" s="25">
        <f>Dimensions!$D$34*A239*A239*A239*0.000000000000000001</f>
        <v>2.9234495291625296E-08</v>
      </c>
      <c r="J239" s="25">
        <f t="shared" si="14"/>
        <v>10.857037100651587</v>
      </c>
      <c r="K239" s="25">
        <f>Dimensions!$D$37*J239</f>
        <v>1628.5555650977376</v>
      </c>
    </row>
    <row r="240" spans="1:11" ht="10.5">
      <c r="A240" s="34">
        <f t="shared" si="15"/>
        <v>231</v>
      </c>
      <c r="B240" s="16"/>
      <c r="C240" s="25">
        <f t="shared" si="12"/>
        <v>3.20166E-07</v>
      </c>
      <c r="D240" s="18"/>
      <c r="E240" s="25">
        <f>Dimensions!$D$33*A240*A240*A240*0.000000000000000001</f>
        <v>1.974498340605641E-08</v>
      </c>
      <c r="F240" s="25">
        <f t="shared" si="13"/>
        <v>16.215055410064057</v>
      </c>
      <c r="G240" s="25">
        <f>Dimensions!$D$36*F240</f>
        <v>1621.5055410064058</v>
      </c>
      <c r="H240" s="18"/>
      <c r="I240" s="25">
        <f>Dimensions!$D$34*A240*A240*A240*0.000000000000000001</f>
        <v>2.961747510908461E-08</v>
      </c>
      <c r="J240" s="25">
        <f t="shared" si="14"/>
        <v>10.810036940042705</v>
      </c>
      <c r="K240" s="25">
        <f>Dimensions!$D$37*J240</f>
        <v>1621.5055410064056</v>
      </c>
    </row>
    <row r="241" spans="1:11" ht="10.5">
      <c r="A241" s="34">
        <f t="shared" si="15"/>
        <v>232</v>
      </c>
      <c r="B241" s="16"/>
      <c r="C241" s="25">
        <f t="shared" si="12"/>
        <v>3.22944E-07</v>
      </c>
      <c r="D241" s="18"/>
      <c r="E241" s="25">
        <f>Dimensions!$D$33*A241*A241*A241*0.000000000000000001</f>
        <v>2.0002523443288354E-08</v>
      </c>
      <c r="F241" s="25">
        <f t="shared" si="13"/>
        <v>16.145162929848265</v>
      </c>
      <c r="G241" s="25">
        <f>Dimensions!$D$36*F241</f>
        <v>1614.5162929848266</v>
      </c>
      <c r="H241" s="18"/>
      <c r="I241" s="25">
        <f>Dimensions!$D$34*A241*A241*A241*0.000000000000000001</f>
        <v>3.000378516493253E-08</v>
      </c>
      <c r="J241" s="25">
        <f t="shared" si="14"/>
        <v>10.763441953232176</v>
      </c>
      <c r="K241" s="25">
        <f>Dimensions!$D$37*J241</f>
        <v>1614.5162929848261</v>
      </c>
    </row>
    <row r="242" spans="1:11" ht="10.5">
      <c r="A242" s="34">
        <f t="shared" si="15"/>
        <v>233</v>
      </c>
      <c r="B242" s="16"/>
      <c r="C242" s="25">
        <f t="shared" si="12"/>
        <v>3.25734E-07</v>
      </c>
      <c r="D242" s="18"/>
      <c r="E242" s="25">
        <f>Dimensions!$D$33*A242*A242*A242*0.000000000000000001</f>
        <v>2.026229325052364E-08</v>
      </c>
      <c r="F242" s="25">
        <f t="shared" si="13"/>
        <v>16.07587038508497</v>
      </c>
      <c r="G242" s="25">
        <f>Dimensions!$D$36*F242</f>
        <v>1607.5870385084968</v>
      </c>
      <c r="H242" s="18"/>
      <c r="I242" s="25">
        <f>Dimensions!$D$34*A242*A242*A242*0.000000000000000001</f>
        <v>3.0393439875785465E-08</v>
      </c>
      <c r="J242" s="25">
        <f t="shared" si="14"/>
        <v>10.717246923389977</v>
      </c>
      <c r="K242" s="25">
        <f>Dimensions!$D$37*J242</f>
        <v>1607.5870385084963</v>
      </c>
    </row>
    <row r="243" spans="1:11" ht="10.5">
      <c r="A243" s="34">
        <f t="shared" si="15"/>
        <v>234</v>
      </c>
      <c r="B243" s="16"/>
      <c r="C243" s="25">
        <f t="shared" si="12"/>
        <v>3.28536E-07</v>
      </c>
      <c r="D243" s="18"/>
      <c r="E243" s="25">
        <f>Dimensions!$D$33*A243*A243*A243*0.000000000000000001</f>
        <v>2.0524302438839868E-08</v>
      </c>
      <c r="F243" s="25">
        <f t="shared" si="13"/>
        <v>16.007170084294003</v>
      </c>
      <c r="G243" s="25">
        <f>Dimensions!$D$36*F243</f>
        <v>1600.7170084294003</v>
      </c>
      <c r="H243" s="18"/>
      <c r="I243" s="25">
        <f>Dimensions!$D$34*A243*A243*A243*0.000000000000000001</f>
        <v>3.07864536582598E-08</v>
      </c>
      <c r="J243" s="25">
        <f t="shared" si="14"/>
        <v>10.67144672286267</v>
      </c>
      <c r="K243" s="25">
        <f>Dimensions!$D$37*J243</f>
        <v>1600.7170084294003</v>
      </c>
    </row>
    <row r="244" spans="1:11" ht="10.5">
      <c r="A244" s="34">
        <f t="shared" si="15"/>
        <v>235</v>
      </c>
      <c r="B244" s="16"/>
      <c r="C244" s="25">
        <f t="shared" si="12"/>
        <v>3.3135E-07</v>
      </c>
      <c r="D244" s="18"/>
      <c r="E244" s="25">
        <f>Dimensions!$D$33*A244*A244*A244*0.000000000000000001</f>
        <v>2.0788560619314635E-08</v>
      </c>
      <c r="F244" s="25">
        <f t="shared" si="13"/>
        <v>15.93905446691403</v>
      </c>
      <c r="G244" s="25">
        <f>Dimensions!$D$36*F244</f>
        <v>1593.905446691403</v>
      </c>
      <c r="H244" s="18"/>
      <c r="I244" s="25">
        <f>Dimensions!$D$34*A244*A244*A244*0.000000000000000001</f>
        <v>3.118284092897195E-08</v>
      </c>
      <c r="J244" s="25">
        <f t="shared" si="14"/>
        <v>10.626036311276021</v>
      </c>
      <c r="K244" s="25">
        <f>Dimensions!$D$37*J244</f>
        <v>1593.9054466914029</v>
      </c>
    </row>
    <row r="245" spans="1:11" ht="10.5">
      <c r="A245" s="34">
        <f t="shared" si="15"/>
        <v>236</v>
      </c>
      <c r="B245" s="16"/>
      <c r="C245" s="25">
        <f t="shared" si="12"/>
        <v>3.34176E-07</v>
      </c>
      <c r="D245" s="18"/>
      <c r="E245" s="25">
        <f>Dimensions!$D$33*A245*A245*A245*0.000000000000000001</f>
        <v>2.1055077403025536E-08</v>
      </c>
      <c r="F245" s="25">
        <f t="shared" si="13"/>
        <v>15.871516100528805</v>
      </c>
      <c r="G245" s="25">
        <f>Dimensions!$D$36*F245</f>
        <v>1587.1516100528804</v>
      </c>
      <c r="H245" s="18"/>
      <c r="I245" s="25">
        <f>Dimensions!$D$34*A245*A245*A245*0.000000000000000001</f>
        <v>3.158261610453831E-08</v>
      </c>
      <c r="J245" s="25">
        <f t="shared" si="14"/>
        <v>10.581010733685869</v>
      </c>
      <c r="K245" s="25">
        <f>Dimensions!$D$37*J245</f>
        <v>1587.15161005288</v>
      </c>
    </row>
    <row r="246" spans="1:11" ht="10.5">
      <c r="A246" s="34">
        <f t="shared" si="15"/>
        <v>237</v>
      </c>
      <c r="B246" s="16"/>
      <c r="C246" s="25">
        <f t="shared" si="12"/>
        <v>3.37014E-07</v>
      </c>
      <c r="D246" s="18"/>
      <c r="E246" s="25">
        <f>Dimensions!$D$33*A246*A246*A246*0.000000000000000001</f>
        <v>2.132386240105019E-08</v>
      </c>
      <c r="F246" s="25">
        <f t="shared" si="13"/>
        <v>15.804547678163699</v>
      </c>
      <c r="G246" s="25">
        <f>Dimensions!$D$36*F246</f>
        <v>1580.45476781637</v>
      </c>
      <c r="H246" s="18"/>
      <c r="I246" s="25">
        <f>Dimensions!$D$34*A246*A246*A246*0.000000000000000001</f>
        <v>3.198579360157528E-08</v>
      </c>
      <c r="J246" s="25">
        <f t="shared" si="14"/>
        <v>10.5363651187758</v>
      </c>
      <c r="K246" s="25">
        <f>Dimensions!$D$37*J246</f>
        <v>1580.4547678163697</v>
      </c>
    </row>
    <row r="247" spans="1:11" ht="10.5">
      <c r="A247" s="34">
        <f t="shared" si="15"/>
        <v>238</v>
      </c>
      <c r="B247" s="16"/>
      <c r="C247" s="25">
        <f t="shared" si="12"/>
        <v>3.39864E-07</v>
      </c>
      <c r="D247" s="18"/>
      <c r="E247" s="25">
        <f>Dimensions!$D$33*A247*A247*A247*0.000000000000000001</f>
        <v>2.159492522446618E-08</v>
      </c>
      <c r="F247" s="25">
        <f t="shared" si="13"/>
        <v>15.738142015650405</v>
      </c>
      <c r="G247" s="25">
        <f>Dimensions!$D$36*F247</f>
        <v>1573.8142015650405</v>
      </c>
      <c r="H247" s="18"/>
      <c r="I247" s="25">
        <f>Dimensions!$D$34*A247*A247*A247*0.000000000000000001</f>
        <v>3.239238783669926E-08</v>
      </c>
      <c r="J247" s="25">
        <f t="shared" si="14"/>
        <v>10.492094677100274</v>
      </c>
      <c r="K247" s="25">
        <f>Dimensions!$D$37*J247</f>
        <v>1573.8142015650408</v>
      </c>
    </row>
    <row r="248" spans="1:11" ht="10.5">
      <c r="A248" s="34">
        <f t="shared" si="15"/>
        <v>239</v>
      </c>
      <c r="B248" s="16"/>
      <c r="C248" s="25">
        <f t="shared" si="12"/>
        <v>3.42726E-07</v>
      </c>
      <c r="D248" s="18"/>
      <c r="E248" s="25">
        <f>Dimensions!$D$33*A248*A248*A248*0.000000000000000001</f>
        <v>2.1868275484351114E-08</v>
      </c>
      <c r="F248" s="25">
        <f t="shared" si="13"/>
        <v>15.672292049057727</v>
      </c>
      <c r="G248" s="25">
        <f>Dimensions!$D$36*F248</f>
        <v>1567.2292049057728</v>
      </c>
      <c r="H248" s="18"/>
      <c r="I248" s="25">
        <f>Dimensions!$D$34*A248*A248*A248*0.000000000000000001</f>
        <v>3.2802413226526674E-08</v>
      </c>
      <c r="J248" s="25">
        <f t="shared" si="14"/>
        <v>10.448194699371818</v>
      </c>
      <c r="K248" s="25">
        <f>Dimensions!$D$37*J248</f>
        <v>1567.2292049057723</v>
      </c>
    </row>
    <row r="249" spans="1:11" ht="10.5">
      <c r="A249" s="34">
        <f t="shared" si="15"/>
        <v>240</v>
      </c>
      <c r="B249" s="16"/>
      <c r="C249" s="25">
        <f t="shared" si="12"/>
        <v>3.4559999999999997E-07</v>
      </c>
      <c r="D249" s="18"/>
      <c r="E249" s="25">
        <f>Dimensions!$D$33*A249*A249*A249*0.000000000000000001</f>
        <v>2.2143922791782594E-08</v>
      </c>
      <c r="F249" s="25">
        <f t="shared" si="13"/>
        <v>15.60699083218665</v>
      </c>
      <c r="G249" s="25">
        <f>Dimensions!$D$36*F249</f>
        <v>1560.699083218665</v>
      </c>
      <c r="H249" s="18"/>
      <c r="I249" s="25">
        <f>Dimensions!$D$34*A249*A249*A249*0.000000000000000001</f>
        <v>3.321588418767388E-08</v>
      </c>
      <c r="J249" s="25">
        <f t="shared" si="14"/>
        <v>10.404660554791104</v>
      </c>
      <c r="K249" s="25">
        <f>Dimensions!$D$37*J249</f>
        <v>1560.6990832186652</v>
      </c>
    </row>
    <row r="250" spans="1:11" ht="10.5">
      <c r="A250" s="34">
        <f t="shared" si="15"/>
        <v>241</v>
      </c>
      <c r="B250" s="16"/>
      <c r="C250" s="25">
        <f t="shared" si="12"/>
        <v>3.48486E-07</v>
      </c>
      <c r="D250" s="18"/>
      <c r="E250" s="25">
        <f>Dimensions!$D$33*A250*A250*A250*0.000000000000000001</f>
        <v>2.242187675783821E-08</v>
      </c>
      <c r="F250" s="25">
        <f t="shared" si="13"/>
        <v>15.54223153412779</v>
      </c>
      <c r="G250" s="25">
        <f>Dimensions!$D$36*F250</f>
        <v>1554.223153412779</v>
      </c>
      <c r="H250" s="18"/>
      <c r="I250" s="25">
        <f>Dimensions!$D$34*A250*A250*A250*0.000000000000000001</f>
        <v>3.363281513675732E-08</v>
      </c>
      <c r="J250" s="25">
        <f t="shared" si="14"/>
        <v>10.361487689418526</v>
      </c>
      <c r="K250" s="25">
        <f>Dimensions!$D$37*J250</f>
        <v>1554.2231534127786</v>
      </c>
    </row>
    <row r="251" spans="1:11" ht="10.5">
      <c r="A251" s="34">
        <f t="shared" si="15"/>
        <v>242</v>
      </c>
      <c r="B251" s="16"/>
      <c r="C251" s="25">
        <f t="shared" si="12"/>
        <v>3.51384E-07</v>
      </c>
      <c r="D251" s="18"/>
      <c r="E251" s="25">
        <f>Dimensions!$D$33*A251*A251*A251*0.000000000000000001</f>
        <v>2.2702146993595575E-08</v>
      </c>
      <c r="F251" s="25">
        <f t="shared" si="13"/>
        <v>15.478007436879329</v>
      </c>
      <c r="G251" s="25">
        <f>Dimensions!$D$36*F251</f>
        <v>1547.800743687933</v>
      </c>
      <c r="H251" s="18"/>
      <c r="I251" s="25">
        <f>Dimensions!$D$34*A251*A251*A251*0.000000000000000001</f>
        <v>3.405322049039337E-08</v>
      </c>
      <c r="J251" s="25">
        <f t="shared" si="14"/>
        <v>10.318671624586218</v>
      </c>
      <c r="K251" s="25">
        <f>Dimensions!$D$37*J251</f>
        <v>1547.8007436879323</v>
      </c>
    </row>
    <row r="252" spans="1:11" ht="10.5">
      <c r="A252" s="34">
        <f t="shared" si="15"/>
        <v>243</v>
      </c>
      <c r="B252" s="16"/>
      <c r="C252" s="25">
        <f t="shared" si="12"/>
        <v>3.54294E-07</v>
      </c>
      <c r="D252" s="18"/>
      <c r="E252" s="25">
        <f>Dimensions!$D$33*A252*A252*A252*0.000000000000000001</f>
        <v>2.298474311013229E-08</v>
      </c>
      <c r="F252" s="25">
        <f t="shared" si="13"/>
        <v>15.414311933023855</v>
      </c>
      <c r="G252" s="25">
        <f>Dimensions!$D$36*F252</f>
        <v>1541.4311933023855</v>
      </c>
      <c r="H252" s="18"/>
      <c r="I252" s="25">
        <f>Dimensions!$D$34*A252*A252*A252*0.000000000000000001</f>
        <v>3.447711466519843E-08</v>
      </c>
      <c r="J252" s="25">
        <f t="shared" si="14"/>
        <v>10.27620795534924</v>
      </c>
      <c r="K252" s="25">
        <f>Dimensions!$D$37*J252</f>
        <v>1541.4311933023855</v>
      </c>
    </row>
    <row r="253" spans="1:11" ht="10.5">
      <c r="A253" s="34">
        <f t="shared" si="15"/>
        <v>244</v>
      </c>
      <c r="B253" s="16"/>
      <c r="C253" s="25">
        <f t="shared" si="12"/>
        <v>3.57216E-07</v>
      </c>
      <c r="D253" s="18"/>
      <c r="E253" s="25">
        <f>Dimensions!$D$33*A253*A253*A253*0.000000000000000001</f>
        <v>2.3269674718525947E-08</v>
      </c>
      <c r="F253" s="25">
        <f t="shared" si="13"/>
        <v>15.351138523462282</v>
      </c>
      <c r="G253" s="25">
        <f>Dimensions!$D$36*F253</f>
        <v>1535.1138523462282</v>
      </c>
      <c r="H253" s="18"/>
      <c r="I253" s="25">
        <f>Dimensions!$D$34*A253*A253*A253*0.000000000000000001</f>
        <v>3.4904512077788916E-08</v>
      </c>
      <c r="J253" s="25">
        <f t="shared" si="14"/>
        <v>10.234092348974857</v>
      </c>
      <c r="K253" s="25">
        <f>Dimensions!$D$37*J253</f>
        <v>1535.1138523462282</v>
      </c>
    </row>
    <row r="254" spans="1:11" ht="10.5">
      <c r="A254" s="34">
        <f t="shared" si="15"/>
        <v>245</v>
      </c>
      <c r="B254" s="16"/>
      <c r="C254" s="25">
        <f t="shared" si="12"/>
        <v>3.6015E-07</v>
      </c>
      <c r="D254" s="18"/>
      <c r="E254" s="25">
        <f>Dimensions!$D$33*A254*A254*A254*0.000000000000000001</f>
        <v>2.3556951429854148E-08</v>
      </c>
      <c r="F254" s="25">
        <f t="shared" si="13"/>
        <v>15.288480815203254</v>
      </c>
      <c r="G254" s="25">
        <f>Dimensions!$D$36*F254</f>
        <v>1528.8480815203254</v>
      </c>
      <c r="H254" s="18"/>
      <c r="I254" s="25">
        <f>Dimensions!$D$34*A254*A254*A254*0.000000000000000001</f>
        <v>3.533542714478123E-08</v>
      </c>
      <c r="J254" s="25">
        <f t="shared" si="14"/>
        <v>10.192320543468833</v>
      </c>
      <c r="K254" s="25">
        <f>Dimensions!$D$37*J254</f>
        <v>1528.8480815203247</v>
      </c>
    </row>
    <row r="255" spans="1:11" ht="10.5">
      <c r="A255" s="34">
        <f t="shared" si="15"/>
        <v>246</v>
      </c>
      <c r="B255" s="16"/>
      <c r="C255" s="25">
        <f t="shared" si="12"/>
        <v>3.63096E-07</v>
      </c>
      <c r="D255" s="18"/>
      <c r="E255" s="25">
        <f>Dimensions!$D$33*A255*A255*A255*0.000000000000000001</f>
        <v>2.38465828551945E-08</v>
      </c>
      <c r="F255" s="25">
        <f t="shared" si="13"/>
        <v>15.226332519206492</v>
      </c>
      <c r="G255" s="25">
        <f>Dimensions!$D$36*F255</f>
        <v>1522.6332519206492</v>
      </c>
      <c r="H255" s="18"/>
      <c r="I255" s="25">
        <f>Dimensions!$D$34*A255*A255*A255*0.000000000000000001</f>
        <v>3.5769874282791745E-08</v>
      </c>
      <c r="J255" s="25">
        <f t="shared" si="14"/>
        <v>10.150888346137663</v>
      </c>
      <c r="K255" s="25">
        <f>Dimensions!$D$37*J255</f>
        <v>1522.6332519206492</v>
      </c>
    </row>
    <row r="256" spans="1:11" ht="10.5">
      <c r="A256" s="34">
        <f t="shared" si="15"/>
        <v>247</v>
      </c>
      <c r="B256" s="16"/>
      <c r="C256" s="25">
        <f t="shared" si="12"/>
        <v>3.66054E-07</v>
      </c>
      <c r="D256" s="18"/>
      <c r="E256" s="25">
        <f>Dimensions!$D$33*A256*A256*A256*0.000000000000000001</f>
        <v>2.41385786056246E-08</v>
      </c>
      <c r="F256" s="25">
        <f t="shared" si="13"/>
        <v>15.164687448278528</v>
      </c>
      <c r="G256" s="25">
        <f>Dimensions!$D$36*F256</f>
        <v>1516.4687448278528</v>
      </c>
      <c r="H256" s="18"/>
      <c r="I256" s="25">
        <f>Dimensions!$D$34*A256*A256*A256*0.000000000000000001</f>
        <v>3.620786790843688E-08</v>
      </c>
      <c r="J256" s="25">
        <f t="shared" si="14"/>
        <v>10.10979163218569</v>
      </c>
      <c r="K256" s="25">
        <f>Dimensions!$D$37*J256</f>
        <v>1516.4687448278532</v>
      </c>
    </row>
    <row r="257" spans="1:11" ht="10.5">
      <c r="A257" s="34">
        <f t="shared" si="15"/>
        <v>248</v>
      </c>
      <c r="B257" s="16"/>
      <c r="C257" s="25">
        <f t="shared" si="12"/>
        <v>3.69024E-07</v>
      </c>
      <c r="D257" s="18"/>
      <c r="E257" s="25">
        <f>Dimensions!$D$33*A257*A257*A257*0.000000000000000001</f>
        <v>2.4432948292222043E-08</v>
      </c>
      <c r="F257" s="25">
        <f t="shared" si="13"/>
        <v>15.103539515019342</v>
      </c>
      <c r="G257" s="25">
        <f>Dimensions!$D$36*F257</f>
        <v>1510.3539515019343</v>
      </c>
      <c r="H257" s="18"/>
      <c r="I257" s="25">
        <f>Dimensions!$D$34*A257*A257*A257*0.000000000000000001</f>
        <v>3.664942243833307E-08</v>
      </c>
      <c r="J257" s="25">
        <f t="shared" si="14"/>
        <v>10.069026343346229</v>
      </c>
      <c r="K257" s="25">
        <f>Dimensions!$D$37*J257</f>
        <v>1510.353951501934</v>
      </c>
    </row>
    <row r="258" spans="1:11" ht="10.5">
      <c r="A258" s="34">
        <f t="shared" si="15"/>
        <v>249</v>
      </c>
      <c r="B258" s="16"/>
      <c r="C258" s="25">
        <f t="shared" si="12"/>
        <v>3.72006E-07</v>
      </c>
      <c r="D258" s="18"/>
      <c r="E258" s="25">
        <f>Dimensions!$D$33*A258*A258*A258*0.000000000000000001</f>
        <v>2.472970152606444E-08</v>
      </c>
      <c r="F258" s="25">
        <f t="shared" si="13"/>
        <v>15.04288272981846</v>
      </c>
      <c r="G258" s="25">
        <f>Dimensions!$D$36*F258</f>
        <v>1504.2882729818461</v>
      </c>
      <c r="H258" s="18"/>
      <c r="I258" s="25">
        <f>Dimensions!$D$34*A258*A258*A258*0.000000000000000001</f>
        <v>3.709455228909665E-08</v>
      </c>
      <c r="J258" s="25">
        <f t="shared" si="14"/>
        <v>10.028588486545644</v>
      </c>
      <c r="K258" s="25">
        <f>Dimensions!$D$37*J258</f>
        <v>1504.2882729818464</v>
      </c>
    </row>
    <row r="259" spans="1:11" ht="10.5">
      <c r="A259" s="34">
        <f t="shared" si="15"/>
        <v>250</v>
      </c>
      <c r="B259" s="16"/>
      <c r="C259" s="25">
        <f t="shared" si="12"/>
        <v>3.75E-07</v>
      </c>
      <c r="D259" s="18"/>
      <c r="E259" s="25">
        <f>Dimensions!$D$33*A259*A259*A259*0.000000000000000001</f>
        <v>2.5028847918229385E-08</v>
      </c>
      <c r="F259" s="25">
        <f t="shared" si="13"/>
        <v>14.982711198899187</v>
      </c>
      <c r="G259" s="25">
        <f>Dimensions!$D$36*F259</f>
        <v>1498.2711198899187</v>
      </c>
      <c r="H259" s="18"/>
      <c r="I259" s="25">
        <f>Dimensions!$D$34*A259*A259*A259*0.000000000000000001</f>
        <v>3.754327187734407E-08</v>
      </c>
      <c r="J259" s="25">
        <f t="shared" si="14"/>
        <v>9.988474132599459</v>
      </c>
      <c r="K259" s="25">
        <f>Dimensions!$D$37*J259</f>
        <v>1498.2711198899185</v>
      </c>
    </row>
    <row r="260" spans="1:11" ht="10.5">
      <c r="A260" s="34">
        <f t="shared" si="15"/>
        <v>251</v>
      </c>
      <c r="B260" s="16"/>
      <c r="C260" s="25">
        <f t="shared" si="12"/>
        <v>3.78006E-07</v>
      </c>
      <c r="D260" s="18"/>
      <c r="E260" s="25">
        <f>Dimensions!$D$33*A260*A260*A260*0.000000000000000001</f>
        <v>2.5330397079794477E-08</v>
      </c>
      <c r="F260" s="25">
        <f t="shared" si="13"/>
        <v>14.92301912240955</v>
      </c>
      <c r="G260" s="25">
        <f>Dimensions!$D$36*F260</f>
        <v>1492.3019122409548</v>
      </c>
      <c r="H260" s="18"/>
      <c r="I260" s="25">
        <f>Dimensions!$D$34*A260*A260*A260*0.000000000000000001</f>
        <v>3.799559561969171E-08</v>
      </c>
      <c r="J260" s="25">
        <f t="shared" si="14"/>
        <v>9.9486794149397</v>
      </c>
      <c r="K260" s="25">
        <f>Dimensions!$D$37*J260</f>
        <v>1492.3019122409548</v>
      </c>
    </row>
    <row r="261" spans="1:11" ht="10.5">
      <c r="A261" s="34">
        <f t="shared" si="15"/>
        <v>252</v>
      </c>
      <c r="B261" s="16"/>
      <c r="C261" s="25">
        <f t="shared" si="12"/>
        <v>3.81024E-07</v>
      </c>
      <c r="D261" s="18"/>
      <c r="E261" s="25">
        <f>Dimensions!$D$33*A261*A261*A261*0.000000000000000001</f>
        <v>2.5634358621837325E-08</v>
      </c>
      <c r="F261" s="25">
        <f t="shared" si="13"/>
        <v>14.863800792558717</v>
      </c>
      <c r="G261" s="25">
        <f>Dimensions!$D$36*F261</f>
        <v>1486.3800792558716</v>
      </c>
      <c r="H261" s="18"/>
      <c r="I261" s="25">
        <f>Dimensions!$D$34*A261*A261*A261*0.000000000000000001</f>
        <v>3.845153793275598E-08</v>
      </c>
      <c r="J261" s="25">
        <f t="shared" si="14"/>
        <v>9.90920052837248</v>
      </c>
      <c r="K261" s="25">
        <f>Dimensions!$D$37*J261</f>
        <v>1486.3800792558718</v>
      </c>
    </row>
    <row r="262" spans="1:11" ht="10.5">
      <c r="A262" s="34">
        <f t="shared" si="15"/>
        <v>253</v>
      </c>
      <c r="B262" s="16"/>
      <c r="C262" s="25">
        <f t="shared" si="12"/>
        <v>3.84054E-07</v>
      </c>
      <c r="D262" s="18"/>
      <c r="E262" s="25">
        <f>Dimensions!$D$33*A262*A262*A262*0.000000000000000001</f>
        <v>2.594074215543552E-08</v>
      </c>
      <c r="F262" s="25">
        <f t="shared" si="13"/>
        <v>14.805050591797617</v>
      </c>
      <c r="G262" s="25">
        <f>Dimensions!$D$36*F262</f>
        <v>1480.5050591797617</v>
      </c>
      <c r="H262" s="18"/>
      <c r="I262" s="25">
        <f>Dimensions!$D$34*A262*A262*A262*0.000000000000000001</f>
        <v>3.891111323315328E-08</v>
      </c>
      <c r="J262" s="25">
        <f t="shared" si="14"/>
        <v>9.870033727865078</v>
      </c>
      <c r="K262" s="25">
        <f>Dimensions!$D$37*J262</f>
        <v>1480.5050591797615</v>
      </c>
    </row>
    <row r="263" spans="1:11" ht="10.5">
      <c r="A263" s="34">
        <f t="shared" si="15"/>
        <v>254</v>
      </c>
      <c r="B263" s="16"/>
      <c r="C263" s="25">
        <f t="shared" si="12"/>
        <v>3.87096E-07</v>
      </c>
      <c r="D263" s="18"/>
      <c r="E263" s="25">
        <f>Dimensions!$D$33*A263*A263*A263*0.000000000000000001</f>
        <v>2.6249557291666665E-08</v>
      </c>
      <c r="F263" s="25">
        <f t="shared" si="13"/>
        <v>14.746762991042509</v>
      </c>
      <c r="G263" s="25">
        <f>Dimensions!$D$36*F263</f>
        <v>1474.6762991042508</v>
      </c>
      <c r="H263" s="18"/>
      <c r="I263" s="25">
        <f>Dimensions!$D$34*A263*A263*A263*0.000000000000000001</f>
        <v>3.9374335937499993E-08</v>
      </c>
      <c r="J263" s="25">
        <f t="shared" si="14"/>
        <v>9.831175327361674</v>
      </c>
      <c r="K263" s="25">
        <f>Dimensions!$D$37*J263</f>
        <v>1474.6762991042508</v>
      </c>
    </row>
    <row r="264" spans="1:11" ht="10.5">
      <c r="A264" s="34">
        <f t="shared" si="15"/>
        <v>255</v>
      </c>
      <c r="B264" s="16"/>
      <c r="C264" s="25">
        <f t="shared" si="12"/>
        <v>3.9015E-07</v>
      </c>
      <c r="D264" s="18"/>
      <c r="E264" s="25">
        <f>Dimensions!$D$33*A264*A264*A264*0.000000000000000001</f>
        <v>2.6560813641608368E-08</v>
      </c>
      <c r="F264" s="25">
        <f t="shared" si="13"/>
        <v>14.688932547940379</v>
      </c>
      <c r="G264" s="25">
        <f>Dimensions!$D$36*F264</f>
        <v>1468.8932547940378</v>
      </c>
      <c r="H264" s="18"/>
      <c r="I264" s="25">
        <f>Dimensions!$D$34*A264*A264*A264*0.000000000000000001</f>
        <v>3.984122046241254E-08</v>
      </c>
      <c r="J264" s="25">
        <f t="shared" si="14"/>
        <v>9.792621698626922</v>
      </c>
      <c r="K264" s="25">
        <f>Dimensions!$D$37*J264</f>
        <v>1468.893254794038</v>
      </c>
    </row>
    <row r="265" spans="1:11" ht="10.5">
      <c r="A265" s="34">
        <f t="shared" si="15"/>
        <v>256</v>
      </c>
      <c r="B265" s="16"/>
      <c r="C265" s="25">
        <f t="shared" si="12"/>
        <v>3.93216E-07</v>
      </c>
      <c r="D265" s="18"/>
      <c r="E265" s="25">
        <f>Dimensions!$D$33*A265*A265*A265*0.000000000000000001</f>
        <v>2.687452081633822E-08</v>
      </c>
      <c r="F265" s="25">
        <f t="shared" si="13"/>
        <v>14.63155390517499</v>
      </c>
      <c r="G265" s="25">
        <f>Dimensions!$D$36*F265</f>
        <v>1463.155390517499</v>
      </c>
      <c r="H265" s="18"/>
      <c r="I265" s="25">
        <f>Dimensions!$D$34*A265*A265*A265*0.000000000000000001</f>
        <v>4.031178122450733E-08</v>
      </c>
      <c r="J265" s="25">
        <f t="shared" si="14"/>
        <v>9.754369270116658</v>
      </c>
      <c r="K265" s="25">
        <f>Dimensions!$D$37*J265</f>
        <v>1463.1553905174985</v>
      </c>
    </row>
    <row r="266" spans="1:11" ht="10.5">
      <c r="A266" s="34">
        <f t="shared" si="15"/>
        <v>257</v>
      </c>
      <c r="B266" s="16"/>
      <c r="C266" s="25">
        <f t="shared" si="12"/>
        <v>3.96294E-07</v>
      </c>
      <c r="D266" s="18"/>
      <c r="E266" s="25">
        <f>Dimensions!$D$33*A266*A266*A266*0.000000000000000001</f>
        <v>2.719068842693383E-08</v>
      </c>
      <c r="F266" s="25">
        <f t="shared" si="13"/>
        <v>14.57462178881244</v>
      </c>
      <c r="G266" s="25">
        <f>Dimensions!$D$36*F266</f>
        <v>1457.462178881244</v>
      </c>
      <c r="H266" s="18"/>
      <c r="I266" s="25">
        <f>Dimensions!$D$34*A266*A266*A266*0.000000000000000001</f>
        <v>4.0786032640400744E-08</v>
      </c>
      <c r="J266" s="25">
        <f t="shared" si="14"/>
        <v>9.71641452587496</v>
      </c>
      <c r="K266" s="25">
        <f>Dimensions!$D$37*J266</f>
        <v>1457.4621788812437</v>
      </c>
    </row>
    <row r="267" spans="1:11" ht="10.5">
      <c r="A267" s="34">
        <f t="shared" si="15"/>
        <v>258</v>
      </c>
      <c r="B267" s="16"/>
      <c r="C267" s="25">
        <f aca="true" t="shared" si="16" ref="C267:C330">6*A267*A267*0.000000000001</f>
        <v>3.9938399999999997E-07</v>
      </c>
      <c r="D267" s="18"/>
      <c r="E267" s="25">
        <f>Dimensions!$D$33*A267*A267*A267*0.000000000000000001</f>
        <v>2.7509326084472792E-08</v>
      </c>
      <c r="F267" s="25">
        <f aca="true" t="shared" si="17" ref="F267:F330">C267/E267</f>
        <v>14.518131006685257</v>
      </c>
      <c r="G267" s="25">
        <f>Dimensions!$D$36*F267</f>
        <v>1451.8131006685257</v>
      </c>
      <c r="H267" s="18"/>
      <c r="I267" s="25">
        <f>Dimensions!$D$34*A267*A267*A267*0.000000000000000001</f>
        <v>4.1263989126709185E-08</v>
      </c>
      <c r="J267" s="25">
        <f aca="true" t="shared" si="18" ref="J267:J330">C267/I267</f>
        <v>9.678754004456838</v>
      </c>
      <c r="K267" s="25">
        <f>Dimensions!$D$37*J267</f>
        <v>1451.8131006685255</v>
      </c>
    </row>
    <row r="268" spans="1:11" ht="10.5">
      <c r="A268" s="34">
        <f aca="true" t="shared" si="19" ref="A268:A331">A267+1</f>
        <v>259</v>
      </c>
      <c r="B268" s="16"/>
      <c r="C268" s="25">
        <f t="shared" si="16"/>
        <v>4.02486E-07</v>
      </c>
      <c r="D268" s="18"/>
      <c r="E268" s="25">
        <f>Dimensions!$D$33*A268*A268*A268*0.000000000000000001</f>
        <v>2.7830443400032704E-08</v>
      </c>
      <c r="F268" s="25">
        <f t="shared" si="17"/>
        <v>14.462076446813889</v>
      </c>
      <c r="G268" s="25">
        <f>Dimensions!$D$36*F268</f>
        <v>1446.207644681389</v>
      </c>
      <c r="H268" s="18"/>
      <c r="I268" s="25">
        <f>Dimensions!$D$34*A268*A268*A268*0.000000000000000001</f>
        <v>4.1745665100049055E-08</v>
      </c>
      <c r="J268" s="25">
        <f t="shared" si="18"/>
        <v>9.641384297875925</v>
      </c>
      <c r="K268" s="25">
        <f>Dimensions!$D$37*J268</f>
        <v>1446.2076446813885</v>
      </c>
    </row>
    <row r="269" spans="1:11" ht="10.5">
      <c r="A269" s="34">
        <f t="shared" si="19"/>
        <v>260</v>
      </c>
      <c r="B269" s="16"/>
      <c r="C269" s="25">
        <f t="shared" si="16"/>
        <v>4.056E-07</v>
      </c>
      <c r="D269" s="18"/>
      <c r="E269" s="25">
        <f>Dimensions!$D$33*A269*A269*A269*0.000000000000000001</f>
        <v>2.8154049984691174E-08</v>
      </c>
      <c r="F269" s="25">
        <f t="shared" si="17"/>
        <v>14.406453075864604</v>
      </c>
      <c r="G269" s="25">
        <f>Dimensions!$D$36*F269</f>
        <v>1440.6453075864604</v>
      </c>
      <c r="H269" s="18"/>
      <c r="I269" s="25">
        <f>Dimensions!$D$34*A269*A269*A269*0.000000000000000001</f>
        <v>4.223107497703676E-08</v>
      </c>
      <c r="J269" s="25">
        <f t="shared" si="18"/>
        <v>9.604302050576402</v>
      </c>
      <c r="K269" s="25">
        <f>Dimensions!$D$37*J269</f>
        <v>1440.6453075864601</v>
      </c>
    </row>
    <row r="270" spans="1:11" ht="10.5">
      <c r="A270" s="34">
        <f t="shared" si="19"/>
        <v>261</v>
      </c>
      <c r="B270" s="16"/>
      <c r="C270" s="25">
        <f t="shared" si="16"/>
        <v>4.08726E-07</v>
      </c>
      <c r="D270" s="18"/>
      <c r="E270" s="25">
        <f>Dimensions!$D$33*A270*A270*A270*0.000000000000000001</f>
        <v>2.848015544952581E-08</v>
      </c>
      <c r="F270" s="25">
        <f t="shared" si="17"/>
        <v>14.351255937642897</v>
      </c>
      <c r="G270" s="25">
        <f>Dimensions!$D$36*F270</f>
        <v>1435.1255937642898</v>
      </c>
      <c r="H270" s="18"/>
      <c r="I270" s="25">
        <f>Dimensions!$D$34*A270*A270*A270*0.000000000000000001</f>
        <v>4.272023317428871E-08</v>
      </c>
      <c r="J270" s="25">
        <f t="shared" si="18"/>
        <v>9.567503958428599</v>
      </c>
      <c r="K270" s="25">
        <f>Dimensions!$D$37*J270</f>
        <v>1435.1255937642895</v>
      </c>
    </row>
    <row r="271" spans="1:11" ht="10.5">
      <c r="A271" s="34">
        <f t="shared" si="19"/>
        <v>262</v>
      </c>
      <c r="B271" s="16"/>
      <c r="C271" s="25">
        <f t="shared" si="16"/>
        <v>4.11864E-07</v>
      </c>
      <c r="D271" s="18"/>
      <c r="E271" s="25">
        <f>Dimensions!$D$33*A271*A271*A271*0.000000000000000001</f>
        <v>2.880876940561419E-08</v>
      </c>
      <c r="F271" s="25">
        <f t="shared" si="17"/>
        <v>14.296480151621362</v>
      </c>
      <c r="G271" s="25">
        <f>Dimensions!$D$36*F271</f>
        <v>1429.648015162136</v>
      </c>
      <c r="H271" s="18"/>
      <c r="I271" s="25">
        <f>Dimensions!$D$34*A271*A271*A271*0.000000000000000001</f>
        <v>4.321315410842128E-08</v>
      </c>
      <c r="J271" s="25">
        <f t="shared" si="18"/>
        <v>9.530986767747576</v>
      </c>
      <c r="K271" s="25">
        <f>Dimensions!$D$37*J271</f>
        <v>1429.648015162136</v>
      </c>
    </row>
    <row r="272" spans="1:11" ht="10.5">
      <c r="A272" s="34">
        <f t="shared" si="19"/>
        <v>263</v>
      </c>
      <c r="B272" s="16"/>
      <c r="C272" s="25">
        <f t="shared" si="16"/>
        <v>4.15014E-07</v>
      </c>
      <c r="D272" s="18"/>
      <c r="E272" s="25">
        <f>Dimensions!$D$33*A272*A272*A272*0.000000000000000001</f>
        <v>2.913990146403393E-08</v>
      </c>
      <c r="F272" s="25">
        <f t="shared" si="17"/>
        <v>14.242120911501129</v>
      </c>
      <c r="G272" s="25">
        <f>Dimensions!$D$36*F272</f>
        <v>1424.2120911501129</v>
      </c>
      <c r="H272" s="18"/>
      <c r="I272" s="25">
        <f>Dimensions!$D$34*A272*A272*A272*0.000000000000000001</f>
        <v>4.370985219605089E-08</v>
      </c>
      <c r="J272" s="25">
        <f t="shared" si="18"/>
        <v>9.494747274334088</v>
      </c>
      <c r="K272" s="25">
        <f>Dimensions!$D$37*J272</f>
        <v>1424.2120911501129</v>
      </c>
    </row>
    <row r="273" spans="1:11" ht="10.5">
      <c r="A273" s="34">
        <f t="shared" si="19"/>
        <v>264</v>
      </c>
      <c r="B273" s="16"/>
      <c r="C273" s="25">
        <f t="shared" si="16"/>
        <v>4.18176E-07</v>
      </c>
      <c r="D273" s="18"/>
      <c r="E273" s="25">
        <f>Dimensions!$D$33*A273*A273*A273*0.000000000000000001</f>
        <v>2.9473561235862633E-08</v>
      </c>
      <c r="F273" s="25">
        <f t="shared" si="17"/>
        <v>14.188173483806047</v>
      </c>
      <c r="G273" s="25">
        <f>Dimensions!$D$36*F273</f>
        <v>1418.8173483806047</v>
      </c>
      <c r="H273" s="18"/>
      <c r="I273" s="25">
        <f>Dimensions!$D$34*A273*A273*A273*0.000000000000000001</f>
        <v>4.421034185379394E-08</v>
      </c>
      <c r="J273" s="25">
        <f t="shared" si="18"/>
        <v>9.458782322537367</v>
      </c>
      <c r="K273" s="25">
        <f>Dimensions!$D$37*J273</f>
        <v>1418.8173483806047</v>
      </c>
    </row>
    <row r="274" spans="1:11" ht="10.5">
      <c r="A274" s="34">
        <f t="shared" si="19"/>
        <v>265</v>
      </c>
      <c r="B274" s="16"/>
      <c r="C274" s="25">
        <f t="shared" si="16"/>
        <v>4.2135E-07</v>
      </c>
      <c r="D274" s="18"/>
      <c r="E274" s="25">
        <f>Dimensions!$D$33*A274*A274*A274*0.000000000000000001</f>
        <v>2.980975833217789E-08</v>
      </c>
      <c r="F274" s="25">
        <f t="shared" si="17"/>
        <v>14.134633206508667</v>
      </c>
      <c r="G274" s="25">
        <f>Dimensions!$D$36*F274</f>
        <v>1413.4633206508668</v>
      </c>
      <c r="H274" s="18"/>
      <c r="I274" s="25">
        <f>Dimensions!$D$34*A274*A274*A274*0.000000000000000001</f>
        <v>4.471463749826683E-08</v>
      </c>
      <c r="J274" s="25">
        <f t="shared" si="18"/>
        <v>9.423088804339113</v>
      </c>
      <c r="K274" s="25">
        <f>Dimensions!$D$37*J274</f>
        <v>1413.4633206508665</v>
      </c>
    </row>
    <row r="275" spans="1:11" ht="10.5">
      <c r="A275" s="34">
        <f t="shared" si="19"/>
        <v>266</v>
      </c>
      <c r="B275" s="16"/>
      <c r="C275" s="25">
        <f t="shared" si="16"/>
        <v>4.24536E-07</v>
      </c>
      <c r="D275" s="18"/>
      <c r="E275" s="25">
        <f>Dimensions!$D$33*A275*A275*A275*0.000000000000000001</f>
        <v>3.01485023640573E-08</v>
      </c>
      <c r="F275" s="25">
        <f t="shared" si="17"/>
        <v>14.081495487687206</v>
      </c>
      <c r="G275" s="25">
        <f>Dimensions!$D$36*F275</f>
        <v>1408.1495487687207</v>
      </c>
      <c r="H275" s="18"/>
      <c r="I275" s="25">
        <f>Dimensions!$D$34*A275*A275*A275*0.000000000000000001</f>
        <v>4.522275354608596E-08</v>
      </c>
      <c r="J275" s="25">
        <f t="shared" si="18"/>
        <v>9.387663658458138</v>
      </c>
      <c r="K275" s="25">
        <f>Dimensions!$D$37*J275</f>
        <v>1408.1495487687205</v>
      </c>
    </row>
    <row r="276" spans="1:11" ht="10.5">
      <c r="A276" s="34">
        <f t="shared" si="19"/>
        <v>267</v>
      </c>
      <c r="B276" s="16"/>
      <c r="C276" s="25">
        <f t="shared" si="16"/>
        <v>4.27734E-07</v>
      </c>
      <c r="D276" s="18"/>
      <c r="E276" s="25">
        <f>Dimensions!$D$33*A276*A276*A276*0.000000000000000001</f>
        <v>3.0489802942578476E-08</v>
      </c>
      <c r="F276" s="25">
        <f t="shared" si="17"/>
        <v>14.028755804212723</v>
      </c>
      <c r="G276" s="25">
        <f>Dimensions!$D$36*F276</f>
        <v>1402.8755804212724</v>
      </c>
      <c r="H276" s="18"/>
      <c r="I276" s="25">
        <f>Dimensions!$D$34*A276*A276*A276*0.000000000000000001</f>
        <v>4.573470441386771E-08</v>
      </c>
      <c r="J276" s="25">
        <f t="shared" si="18"/>
        <v>9.35250386947515</v>
      </c>
      <c r="K276" s="25">
        <f>Dimensions!$D$37*J276</f>
        <v>1402.8755804212722</v>
      </c>
    </row>
    <row r="277" spans="1:11" ht="10.5">
      <c r="A277" s="34">
        <f t="shared" si="19"/>
        <v>268</v>
      </c>
      <c r="B277" s="16"/>
      <c r="C277" s="25">
        <f t="shared" si="16"/>
        <v>4.3094399999999997E-07</v>
      </c>
      <c r="D277" s="18"/>
      <c r="E277" s="25">
        <f>Dimensions!$D$33*A277*A277*A277*0.000000000000000001</f>
        <v>3.083366967881902E-08</v>
      </c>
      <c r="F277" s="25">
        <f t="shared" si="17"/>
        <v>13.976409700465657</v>
      </c>
      <c r="G277" s="25">
        <f>Dimensions!$D$36*F277</f>
        <v>1397.6409700465658</v>
      </c>
      <c r="H277" s="18"/>
      <c r="I277" s="25">
        <f>Dimensions!$D$34*A277*A277*A277*0.000000000000000001</f>
        <v>4.625050451822852E-08</v>
      </c>
      <c r="J277" s="25">
        <f t="shared" si="18"/>
        <v>9.317606466977107</v>
      </c>
      <c r="K277" s="25">
        <f>Dimensions!$D$37*J277</f>
        <v>1397.6409700465658</v>
      </c>
    </row>
    <row r="278" spans="1:11" ht="10.5">
      <c r="A278" s="34">
        <f t="shared" si="19"/>
        <v>269</v>
      </c>
      <c r="B278" s="16"/>
      <c r="C278" s="25">
        <f t="shared" si="16"/>
        <v>4.3416599999999997E-07</v>
      </c>
      <c r="D278" s="18"/>
      <c r="E278" s="25">
        <f>Dimensions!$D$33*A278*A278*A278*0.000000000000000001</f>
        <v>3.118011218385651E-08</v>
      </c>
      <c r="F278" s="25">
        <f t="shared" si="17"/>
        <v>13.92445278708103</v>
      </c>
      <c r="G278" s="25">
        <f>Dimensions!$D$36*F278</f>
        <v>1392.445278708103</v>
      </c>
      <c r="H278" s="18"/>
      <c r="I278" s="25">
        <f>Dimensions!$D$34*A278*A278*A278*0.000000000000000001</f>
        <v>4.6770168275784764E-08</v>
      </c>
      <c r="J278" s="25">
        <f t="shared" si="18"/>
        <v>9.282968524720687</v>
      </c>
      <c r="K278" s="25">
        <f>Dimensions!$D$37*J278</f>
        <v>1392.4452787081027</v>
      </c>
    </row>
    <row r="279" spans="1:11" ht="10.5">
      <c r="A279" s="34">
        <f t="shared" si="19"/>
        <v>270</v>
      </c>
      <c r="B279" s="16"/>
      <c r="C279" s="25">
        <f t="shared" si="16"/>
        <v>4.374E-07</v>
      </c>
      <c r="D279" s="18"/>
      <c r="E279" s="25">
        <f>Dimensions!$D$33*A279*A279*A279*0.000000000000000001</f>
        <v>3.1529140068768576E-08</v>
      </c>
      <c r="F279" s="25">
        <f t="shared" si="17"/>
        <v>13.872880739721468</v>
      </c>
      <c r="G279" s="25">
        <f>Dimensions!$D$36*F279</f>
        <v>1387.2880739721468</v>
      </c>
      <c r="H279" s="18"/>
      <c r="I279" s="25">
        <f>Dimensions!$D$34*A279*A279*A279*0.000000000000000001</f>
        <v>4.729371010315285E-08</v>
      </c>
      <c r="J279" s="25">
        <f t="shared" si="18"/>
        <v>9.248587159814315</v>
      </c>
      <c r="K279" s="25">
        <f>Dimensions!$D$37*J279</f>
        <v>1387.288073972147</v>
      </c>
    </row>
    <row r="280" spans="1:11" ht="10.5">
      <c r="A280" s="34">
        <f t="shared" si="19"/>
        <v>271</v>
      </c>
      <c r="B280" s="16"/>
      <c r="C280" s="25">
        <f t="shared" si="16"/>
        <v>4.40646E-07</v>
      </c>
      <c r="D280" s="18"/>
      <c r="E280" s="25">
        <f>Dimensions!$D$33*A280*A280*A280*0.000000000000000001</f>
        <v>3.188076294463279E-08</v>
      </c>
      <c r="F280" s="25">
        <f t="shared" si="17"/>
        <v>13.82168929787748</v>
      </c>
      <c r="G280" s="25">
        <f>Dimensions!$D$36*F280</f>
        <v>1382.168929787748</v>
      </c>
      <c r="H280" s="18"/>
      <c r="I280" s="25">
        <f>Dimensions!$D$34*A280*A280*A280*0.000000000000000001</f>
        <v>4.7821144416949184E-08</v>
      </c>
      <c r="J280" s="25">
        <f t="shared" si="18"/>
        <v>9.21445953191832</v>
      </c>
      <c r="K280" s="25">
        <f>Dimensions!$D$37*J280</f>
        <v>1382.1689297877479</v>
      </c>
    </row>
    <row r="281" spans="1:11" ht="10.5">
      <c r="A281" s="34">
        <f t="shared" si="19"/>
        <v>272</v>
      </c>
      <c r="B281" s="16"/>
      <c r="C281" s="25">
        <f t="shared" si="16"/>
        <v>4.43904E-07</v>
      </c>
      <c r="D281" s="18"/>
      <c r="E281" s="25">
        <f>Dimensions!$D$33*A281*A281*A281*0.000000000000000001</f>
        <v>3.2234990422526776E-08</v>
      </c>
      <c r="F281" s="25">
        <f t="shared" si="17"/>
        <v>13.770874263694107</v>
      </c>
      <c r="G281" s="25">
        <f>Dimensions!$D$36*F281</f>
        <v>1377.0874263694107</v>
      </c>
      <c r="H281" s="18"/>
      <c r="I281" s="25">
        <f>Dimensions!$D$34*A281*A281*A281*0.000000000000000001</f>
        <v>4.835248563379017E-08</v>
      </c>
      <c r="J281" s="25">
        <f t="shared" si="18"/>
        <v>9.180582842462737</v>
      </c>
      <c r="K281" s="25">
        <f>Dimensions!$D$37*J281</f>
        <v>1377.0874263694104</v>
      </c>
    </row>
    <row r="282" spans="1:11" ht="10.5">
      <c r="A282" s="34">
        <f t="shared" si="19"/>
        <v>273</v>
      </c>
      <c r="B282" s="16"/>
      <c r="C282" s="25">
        <f t="shared" si="16"/>
        <v>4.47174E-07</v>
      </c>
      <c r="D282" s="18"/>
      <c r="E282" s="25">
        <f>Dimensions!$D$33*A282*A282*A282*0.000000000000000001</f>
        <v>3.259183211352812E-08</v>
      </c>
      <c r="F282" s="25">
        <f t="shared" si="17"/>
        <v>13.720431500823434</v>
      </c>
      <c r="G282" s="25">
        <f>Dimensions!$D$36*F282</f>
        <v>1372.0431500823433</v>
      </c>
      <c r="H282" s="18"/>
      <c r="I282" s="25">
        <f>Dimensions!$D$34*A282*A282*A282*0.000000000000000001</f>
        <v>4.888774817029219E-08</v>
      </c>
      <c r="J282" s="25">
        <f t="shared" si="18"/>
        <v>9.146954333882288</v>
      </c>
      <c r="K282" s="25">
        <f>Dimensions!$D$37*J282</f>
        <v>1372.043150082343</v>
      </c>
    </row>
    <row r="283" spans="1:11" ht="10.5">
      <c r="A283" s="34">
        <f t="shared" si="19"/>
        <v>274</v>
      </c>
      <c r="B283" s="16"/>
      <c r="C283" s="25">
        <f t="shared" si="16"/>
        <v>4.5045599999999997E-07</v>
      </c>
      <c r="D283" s="18"/>
      <c r="E283" s="25">
        <f>Dimensions!$D$33*A283*A283*A283*0.000000000000000001</f>
        <v>3.2951297628714434E-08</v>
      </c>
      <c r="F283" s="25">
        <f t="shared" si="17"/>
        <v>13.670356933302177</v>
      </c>
      <c r="G283" s="25">
        <f>Dimensions!$D$36*F283</f>
        <v>1367.0356933302178</v>
      </c>
      <c r="H283" s="18"/>
      <c r="I283" s="25">
        <f>Dimensions!$D$34*A283*A283*A283*0.000000000000000001</f>
        <v>4.942694644307165E-08</v>
      </c>
      <c r="J283" s="25">
        <f t="shared" si="18"/>
        <v>9.113571288868119</v>
      </c>
      <c r="K283" s="25">
        <f>Dimensions!$D$37*J283</f>
        <v>1367.0356933302176</v>
      </c>
    </row>
    <row r="284" spans="1:11" ht="10.5">
      <c r="A284" s="34">
        <f t="shared" si="19"/>
        <v>275</v>
      </c>
      <c r="B284" s="16"/>
      <c r="C284" s="25">
        <f t="shared" si="16"/>
        <v>4.5375E-07</v>
      </c>
      <c r="D284" s="18"/>
      <c r="E284" s="25">
        <f>Dimensions!$D$33*A284*A284*A284*0.000000000000000001</f>
        <v>3.3313396579163306E-08</v>
      </c>
      <c r="F284" s="25">
        <f t="shared" si="17"/>
        <v>13.620646544453807</v>
      </c>
      <c r="G284" s="25">
        <f>Dimensions!$D$36*F284</f>
        <v>1362.0646544453807</v>
      </c>
      <c r="H284" s="18"/>
      <c r="I284" s="25">
        <f>Dimensions!$D$34*A284*A284*A284*0.000000000000000001</f>
        <v>4.997009486874496E-08</v>
      </c>
      <c r="J284" s="25">
        <f t="shared" si="18"/>
        <v>9.080431029635871</v>
      </c>
      <c r="K284" s="25">
        <f>Dimensions!$D$37*J284</f>
        <v>1362.0646544453805</v>
      </c>
    </row>
    <row r="285" spans="1:11" ht="10.5">
      <c r="A285" s="34">
        <f t="shared" si="19"/>
        <v>276</v>
      </c>
      <c r="B285" s="16"/>
      <c r="C285" s="25">
        <f t="shared" si="16"/>
        <v>4.57056E-07</v>
      </c>
      <c r="D285" s="18"/>
      <c r="E285" s="25">
        <f>Dimensions!$D$33*A285*A285*A285*0.000000000000000001</f>
        <v>3.367813857595235E-08</v>
      </c>
      <c r="F285" s="25">
        <f t="shared" si="17"/>
        <v>13.57129637581448</v>
      </c>
      <c r="G285" s="25">
        <f>Dimensions!$D$36*F285</f>
        <v>1357.129637581448</v>
      </c>
      <c r="H285" s="18"/>
      <c r="I285" s="25">
        <f>Dimensions!$D$34*A285*A285*A285*0.000000000000000001</f>
        <v>5.051720786392851E-08</v>
      </c>
      <c r="J285" s="25">
        <f t="shared" si="18"/>
        <v>9.047530917209656</v>
      </c>
      <c r="K285" s="25">
        <f>Dimensions!$D$37*J285</f>
        <v>1357.1296375814482</v>
      </c>
    </row>
    <row r="286" spans="1:11" ht="10.5">
      <c r="A286" s="34">
        <f t="shared" si="19"/>
        <v>277</v>
      </c>
      <c r="B286" s="16"/>
      <c r="C286" s="25">
        <f t="shared" si="16"/>
        <v>4.60374E-07</v>
      </c>
      <c r="D286" s="18"/>
      <c r="E286" s="25">
        <f>Dimensions!$D$33*A286*A286*A286*0.000000000000000001</f>
        <v>3.4045533230159153E-08</v>
      </c>
      <c r="F286" s="25">
        <f t="shared" si="17"/>
        <v>13.5223025260823</v>
      </c>
      <c r="G286" s="25">
        <f>Dimensions!$D$36*F286</f>
        <v>1352.2302526082299</v>
      </c>
      <c r="H286" s="18"/>
      <c r="I286" s="25">
        <f>Dimensions!$D$34*A286*A286*A286*0.000000000000000001</f>
        <v>5.106829984523873E-08</v>
      </c>
      <c r="J286" s="25">
        <f t="shared" si="18"/>
        <v>9.014868350721533</v>
      </c>
      <c r="K286" s="25">
        <f>Dimensions!$D$37*J286</f>
        <v>1352.2302526082299</v>
      </c>
    </row>
    <row r="287" spans="1:11" ht="10.5">
      <c r="A287" s="34">
        <f t="shared" si="19"/>
        <v>278</v>
      </c>
      <c r="B287" s="16"/>
      <c r="C287" s="25">
        <f t="shared" si="16"/>
        <v>4.63704E-07</v>
      </c>
      <c r="D287" s="18"/>
      <c r="E287" s="25">
        <f>Dimensions!$D$33*A287*A287*A287*0.000000000000000001</f>
        <v>3.441559015286132E-08</v>
      </c>
      <c r="F287" s="25">
        <f t="shared" si="17"/>
        <v>13.4736611500892</v>
      </c>
      <c r="G287" s="25">
        <f>Dimensions!$D$36*F287</f>
        <v>1347.36611500892</v>
      </c>
      <c r="H287" s="18"/>
      <c r="I287" s="25">
        <f>Dimensions!$D$34*A287*A287*A287*0.000000000000000001</f>
        <v>5.162338522929198E-08</v>
      </c>
      <c r="J287" s="25">
        <f t="shared" si="18"/>
        <v>8.982440766726134</v>
      </c>
      <c r="K287" s="25">
        <f>Dimensions!$D$37*J287</f>
        <v>1347.36611500892</v>
      </c>
    </row>
    <row r="288" spans="1:11" ht="10.5">
      <c r="A288" s="34">
        <f t="shared" si="19"/>
        <v>279</v>
      </c>
      <c r="B288" s="16"/>
      <c r="C288" s="25">
        <f t="shared" si="16"/>
        <v>4.67046E-07</v>
      </c>
      <c r="D288" s="18"/>
      <c r="E288" s="25">
        <f>Dimensions!$D$33*A288*A288*A288*0.000000000000000001</f>
        <v>3.478831895513646E-08</v>
      </c>
      <c r="F288" s="25">
        <f t="shared" si="17"/>
        <v>13.425368457794972</v>
      </c>
      <c r="G288" s="25">
        <f>Dimensions!$D$36*F288</f>
        <v>1342.5368457794973</v>
      </c>
      <c r="H288" s="18"/>
      <c r="I288" s="25">
        <f>Dimensions!$D$34*A288*A288*A288*0.000000000000000001</f>
        <v>5.2182478432704694E-08</v>
      </c>
      <c r="J288" s="25">
        <f t="shared" si="18"/>
        <v>8.950245638529982</v>
      </c>
      <c r="K288" s="25">
        <f>Dimensions!$D$37*J288</f>
        <v>1342.536845779497</v>
      </c>
    </row>
    <row r="289" spans="1:11" ht="10.5">
      <c r="A289" s="34">
        <f t="shared" si="19"/>
        <v>280</v>
      </c>
      <c r="B289" s="16"/>
      <c r="C289" s="25">
        <f t="shared" si="16"/>
        <v>4.704E-07</v>
      </c>
      <c r="D289" s="18"/>
      <c r="E289" s="25">
        <f>Dimensions!$D$33*A289*A289*A289*0.000000000000000001</f>
        <v>3.516372924806217E-08</v>
      </c>
      <c r="F289" s="25">
        <f t="shared" si="17"/>
        <v>13.377420713302847</v>
      </c>
      <c r="G289" s="25">
        <f>Dimensions!$D$36*F289</f>
        <v>1337.7420713302847</v>
      </c>
      <c r="H289" s="18"/>
      <c r="I289" s="25">
        <f>Dimensions!$D$34*A289*A289*A289*0.000000000000000001</f>
        <v>5.274559387209325E-08</v>
      </c>
      <c r="J289" s="25">
        <f t="shared" si="18"/>
        <v>8.918280475535232</v>
      </c>
      <c r="K289" s="25">
        <f>Dimensions!$D$37*J289</f>
        <v>1337.7420713302845</v>
      </c>
    </row>
    <row r="290" spans="1:11" ht="10.5">
      <c r="A290" s="34">
        <f t="shared" si="19"/>
        <v>281</v>
      </c>
      <c r="B290" s="16"/>
      <c r="C290" s="25">
        <f t="shared" si="16"/>
        <v>4.73766E-07</v>
      </c>
      <c r="D290" s="18"/>
      <c r="E290" s="25">
        <f>Dimensions!$D$33*A290*A290*A290*0.000000000000000001</f>
        <v>3.554183064271605E-08</v>
      </c>
      <c r="F290" s="25">
        <f t="shared" si="17"/>
        <v>13.329814233896073</v>
      </c>
      <c r="G290" s="25">
        <f>Dimensions!$D$36*F290</f>
        <v>1332.9814233896072</v>
      </c>
      <c r="H290" s="18"/>
      <c r="I290" s="25">
        <f>Dimensions!$D$34*A290*A290*A290*0.000000000000000001</f>
        <v>5.3312745964074064E-08</v>
      </c>
      <c r="J290" s="25">
        <f t="shared" si="18"/>
        <v>8.886542822597383</v>
      </c>
      <c r="K290" s="25">
        <f>Dimensions!$D$37*J290</f>
        <v>1332.9814233896072</v>
      </c>
    </row>
    <row r="291" spans="1:11" ht="10.5">
      <c r="A291" s="34">
        <f t="shared" si="19"/>
        <v>282</v>
      </c>
      <c r="B291" s="16"/>
      <c r="C291" s="25">
        <f t="shared" si="16"/>
        <v>4.77144E-07</v>
      </c>
      <c r="D291" s="18"/>
      <c r="E291" s="25">
        <f>Dimensions!$D$33*A291*A291*A291*0.000000000000000001</f>
        <v>3.592263275017569E-08</v>
      </c>
      <c r="F291" s="25">
        <f t="shared" si="17"/>
        <v>13.282545389095024</v>
      </c>
      <c r="G291" s="25">
        <f>Dimensions!$D$36*F291</f>
        <v>1328.2545389095023</v>
      </c>
      <c r="H291" s="18"/>
      <c r="I291" s="25">
        <f>Dimensions!$D$34*A291*A291*A291*0.000000000000000001</f>
        <v>5.388394912526352E-08</v>
      </c>
      <c r="J291" s="25">
        <f t="shared" si="18"/>
        <v>8.855030259396685</v>
      </c>
      <c r="K291" s="25">
        <f>Dimensions!$D$37*J291</f>
        <v>1328.2545389095026</v>
      </c>
    </row>
    <row r="292" spans="1:11" ht="10.5">
      <c r="A292" s="34">
        <f t="shared" si="19"/>
        <v>283</v>
      </c>
      <c r="B292" s="16"/>
      <c r="C292" s="25">
        <f t="shared" si="16"/>
        <v>4.80534E-07</v>
      </c>
      <c r="D292" s="18"/>
      <c r="E292" s="25">
        <f>Dimensions!$D$33*A292*A292*A292*0.000000000000000001</f>
        <v>3.6306145181518695E-08</v>
      </c>
      <c r="F292" s="25">
        <f t="shared" si="17"/>
        <v>13.235610599734265</v>
      </c>
      <c r="G292" s="25">
        <f>Dimensions!$D$36*F292</f>
        <v>1323.5610599734266</v>
      </c>
      <c r="H292" s="18"/>
      <c r="I292" s="25">
        <f>Dimensions!$D$34*A292*A292*A292*0.000000000000000001</f>
        <v>5.445921777227804E-08</v>
      </c>
      <c r="J292" s="25">
        <f t="shared" si="18"/>
        <v>8.823740399822844</v>
      </c>
      <c r="K292" s="25">
        <f>Dimensions!$D$37*J292</f>
        <v>1323.5610599734264</v>
      </c>
    </row>
    <row r="293" spans="1:11" ht="10.5">
      <c r="A293" s="34">
        <f t="shared" si="19"/>
        <v>284</v>
      </c>
      <c r="B293" s="16"/>
      <c r="C293" s="25">
        <f t="shared" si="16"/>
        <v>4.83936E-07</v>
      </c>
      <c r="D293" s="18"/>
      <c r="E293" s="25">
        <f>Dimensions!$D$33*A293*A293*A293*0.000000000000000001</f>
        <v>3.669237754782268E-08</v>
      </c>
      <c r="F293" s="25">
        <f t="shared" si="17"/>
        <v>13.189006337059144</v>
      </c>
      <c r="G293" s="25">
        <f>Dimensions!$D$36*F293</f>
        <v>1318.9006337059145</v>
      </c>
      <c r="H293" s="18"/>
      <c r="I293" s="25">
        <f>Dimensions!$D$34*A293*A293*A293*0.000000000000000001</f>
        <v>5.503856632173401E-08</v>
      </c>
      <c r="J293" s="25">
        <f t="shared" si="18"/>
        <v>8.792670891372763</v>
      </c>
      <c r="K293" s="25">
        <f>Dimensions!$D$37*J293</f>
        <v>1318.9006337059143</v>
      </c>
    </row>
    <row r="294" spans="1:11" ht="10.5">
      <c r="A294" s="34">
        <f t="shared" si="19"/>
        <v>285</v>
      </c>
      <c r="B294" s="16"/>
      <c r="C294" s="25">
        <f t="shared" si="16"/>
        <v>4.8735E-07</v>
      </c>
      <c r="D294" s="18"/>
      <c r="E294" s="25">
        <f>Dimensions!$D$33*A294*A294*A294*0.000000000000000001</f>
        <v>3.708133946016524E-08</v>
      </c>
      <c r="F294" s="25">
        <f t="shared" si="17"/>
        <v>13.14272912184139</v>
      </c>
      <c r="G294" s="25">
        <f>Dimensions!$D$36*F294</f>
        <v>1314.272912184139</v>
      </c>
      <c r="H294" s="18"/>
      <c r="I294" s="25">
        <f>Dimensions!$D$34*A294*A294*A294*0.000000000000000001</f>
        <v>5.562200919024785E-08</v>
      </c>
      <c r="J294" s="25">
        <f t="shared" si="18"/>
        <v>8.761819414560929</v>
      </c>
      <c r="K294" s="25">
        <f>Dimensions!$D$37*J294</f>
        <v>1314.2729121841392</v>
      </c>
    </row>
    <row r="295" spans="1:11" ht="10.5">
      <c r="A295" s="34">
        <f t="shared" si="19"/>
        <v>286</v>
      </c>
      <c r="B295" s="16"/>
      <c r="C295" s="25">
        <f t="shared" si="16"/>
        <v>4.90776E-07</v>
      </c>
      <c r="D295" s="18"/>
      <c r="E295" s="25">
        <f>Dimensions!$D$33*A295*A295*A295*0.000000000000000001</f>
        <v>3.747304052962396E-08</v>
      </c>
      <c r="F295" s="25">
        <f t="shared" si="17"/>
        <v>13.096775523513275</v>
      </c>
      <c r="G295" s="25">
        <f>Dimensions!$D$36*F295</f>
        <v>1309.6775523513274</v>
      </c>
      <c r="H295" s="18"/>
      <c r="I295" s="25">
        <f>Dimensions!$D$34*A295*A295*A295*0.000000000000000001</f>
        <v>5.6209560794435924E-08</v>
      </c>
      <c r="J295" s="25">
        <f t="shared" si="18"/>
        <v>8.731183682342186</v>
      </c>
      <c r="K295" s="25">
        <f>Dimensions!$D$37*J295</f>
        <v>1309.6775523513277</v>
      </c>
    </row>
    <row r="296" spans="1:11" ht="10.5">
      <c r="A296" s="34">
        <f t="shared" si="19"/>
        <v>287</v>
      </c>
      <c r="B296" s="16"/>
      <c r="C296" s="25">
        <f t="shared" si="16"/>
        <v>4.94214E-07</v>
      </c>
      <c r="D296" s="18"/>
      <c r="E296" s="25">
        <f>Dimensions!$D$33*A296*A296*A296*0.000000000000000001</f>
        <v>3.7867490367276445E-08</v>
      </c>
      <c r="F296" s="25">
        <f t="shared" si="17"/>
        <v>13.051142159319852</v>
      </c>
      <c r="G296" s="25">
        <f>Dimensions!$D$36*F296</f>
        <v>1305.1142159319852</v>
      </c>
      <c r="H296" s="18"/>
      <c r="I296" s="25">
        <f>Dimensions!$D$34*A296*A296*A296*0.000000000000000001</f>
        <v>5.680123555091467E-08</v>
      </c>
      <c r="J296" s="25">
        <f t="shared" si="18"/>
        <v>8.700761439546568</v>
      </c>
      <c r="K296" s="25">
        <f>Dimensions!$D$37*J296</f>
        <v>1305.114215931985</v>
      </c>
    </row>
    <row r="297" spans="1:11" ht="10.5">
      <c r="A297" s="34">
        <f t="shared" si="19"/>
        <v>288</v>
      </c>
      <c r="B297" s="16"/>
      <c r="C297" s="25">
        <f t="shared" si="16"/>
        <v>4.97664E-07</v>
      </c>
      <c r="D297" s="18"/>
      <c r="E297" s="25">
        <f>Dimensions!$D$33*A297*A297*A297*0.000000000000000001</f>
        <v>3.826469858420032E-08</v>
      </c>
      <c r="F297" s="25">
        <f t="shared" si="17"/>
        <v>13.005825693488877</v>
      </c>
      <c r="G297" s="25">
        <f>Dimensions!$D$36*F297</f>
        <v>1300.5825693488878</v>
      </c>
      <c r="H297" s="18"/>
      <c r="I297" s="25">
        <f>Dimensions!$D$34*A297*A297*A297*0.000000000000000001</f>
        <v>5.739704787630047E-08</v>
      </c>
      <c r="J297" s="25">
        <f t="shared" si="18"/>
        <v>8.67055046232592</v>
      </c>
      <c r="K297" s="25">
        <f>Dimensions!$D$37*J297</f>
        <v>1300.5825693488878</v>
      </c>
    </row>
    <row r="298" spans="1:11" ht="10.5">
      <c r="A298" s="34">
        <f t="shared" si="19"/>
        <v>289</v>
      </c>
      <c r="B298" s="16"/>
      <c r="C298" s="25">
        <f t="shared" si="16"/>
        <v>5.01126E-07</v>
      </c>
      <c r="D298" s="18"/>
      <c r="E298" s="25">
        <f>Dimensions!$D$33*A298*A298*A298*0.000000000000000001</f>
        <v>3.8664674791473156E-08</v>
      </c>
      <c r="F298" s="25">
        <f t="shared" si="17"/>
        <v>12.960822836417984</v>
      </c>
      <c r="G298" s="25">
        <f>Dimensions!$D$36*F298</f>
        <v>1296.0822836417983</v>
      </c>
      <c r="H298" s="18"/>
      <c r="I298" s="25">
        <f>Dimensions!$D$34*A298*A298*A298*0.000000000000000001</f>
        <v>5.799701218720974E-08</v>
      </c>
      <c r="J298" s="25">
        <f t="shared" si="18"/>
        <v>8.64054855761199</v>
      </c>
      <c r="K298" s="25">
        <f>Dimensions!$D$37*J298</f>
        <v>1296.082283641798</v>
      </c>
    </row>
    <row r="299" spans="1:11" ht="10.5">
      <c r="A299" s="34">
        <f t="shared" si="19"/>
        <v>290</v>
      </c>
      <c r="B299" s="16"/>
      <c r="C299" s="25">
        <f t="shared" si="16"/>
        <v>5.046E-07</v>
      </c>
      <c r="D299" s="18"/>
      <c r="E299" s="25">
        <f>Dimensions!$D$33*A299*A299*A299*0.000000000000000001</f>
        <v>3.9067428600172566E-08</v>
      </c>
      <c r="F299" s="25">
        <f t="shared" si="17"/>
        <v>12.916130343878612</v>
      </c>
      <c r="G299" s="25">
        <f>Dimensions!$D$36*F299</f>
        <v>1291.6130343878613</v>
      </c>
      <c r="H299" s="18"/>
      <c r="I299" s="25">
        <f>Dimensions!$D$34*A299*A299*A299*0.000000000000000001</f>
        <v>5.860114290025885E-08</v>
      </c>
      <c r="J299" s="25">
        <f t="shared" si="18"/>
        <v>8.61075356258574</v>
      </c>
      <c r="K299" s="25">
        <f>Dimensions!$D$37*J299</f>
        <v>1291.6130343878608</v>
      </c>
    </row>
    <row r="300" spans="1:11" ht="10.5">
      <c r="A300" s="34">
        <f t="shared" si="19"/>
        <v>291</v>
      </c>
      <c r="B300" s="16"/>
      <c r="C300" s="25">
        <f t="shared" si="16"/>
        <v>5.08086E-07</v>
      </c>
      <c r="D300" s="18"/>
      <c r="E300" s="25">
        <f>Dimensions!$D$33*A300*A300*A300*0.000000000000000001</f>
        <v>3.947296962137616E-08</v>
      </c>
      <c r="F300" s="25">
        <f t="shared" si="17"/>
        <v>12.871745016236414</v>
      </c>
      <c r="G300" s="25">
        <f>Dimensions!$D$36*F300</f>
        <v>1287.1745016236414</v>
      </c>
      <c r="H300" s="18"/>
      <c r="I300" s="25">
        <f>Dimensions!$D$34*A300*A300*A300*0.000000000000000001</f>
        <v>5.920945443206423E-08</v>
      </c>
      <c r="J300" s="25">
        <f t="shared" si="18"/>
        <v>8.581163344157611</v>
      </c>
      <c r="K300" s="25">
        <f>Dimensions!$D$37*J300</f>
        <v>1287.1745016236414</v>
      </c>
    </row>
    <row r="301" spans="1:11" ht="10.5">
      <c r="A301" s="34">
        <f t="shared" si="19"/>
        <v>292</v>
      </c>
      <c r="B301" s="16"/>
      <c r="C301" s="25">
        <f t="shared" si="16"/>
        <v>5.11584E-07</v>
      </c>
      <c r="D301" s="18"/>
      <c r="E301" s="25">
        <f>Dimensions!$D$33*A301*A301*A301*0.000000000000000001</f>
        <v>3.9881307466161525E-08</v>
      </c>
      <c r="F301" s="25">
        <f t="shared" si="17"/>
        <v>12.827663697687658</v>
      </c>
      <c r="G301" s="25">
        <f>Dimensions!$D$36*F301</f>
        <v>1282.7663697687658</v>
      </c>
      <c r="H301" s="18"/>
      <c r="I301" s="25">
        <f>Dimensions!$D$34*A301*A301*A301*0.000000000000000001</f>
        <v>5.982196119924227E-08</v>
      </c>
      <c r="J301" s="25">
        <f t="shared" si="18"/>
        <v>8.551775798458442</v>
      </c>
      <c r="K301" s="25">
        <f>Dimensions!$D$37*J301</f>
        <v>1282.766369768766</v>
      </c>
    </row>
    <row r="302" spans="1:11" ht="10.5">
      <c r="A302" s="34">
        <f t="shared" si="19"/>
        <v>293</v>
      </c>
      <c r="B302" s="16"/>
      <c r="C302" s="25">
        <f t="shared" si="16"/>
        <v>5.15094E-07</v>
      </c>
      <c r="D302" s="18"/>
      <c r="E302" s="25">
        <f>Dimensions!$D$33*A302*A302*A302*0.000000000000000001</f>
        <v>4.029245174560625E-08</v>
      </c>
      <c r="F302" s="25">
        <f t="shared" si="17"/>
        <v>12.783883275511256</v>
      </c>
      <c r="G302" s="25">
        <f>Dimensions!$D$36*F302</f>
        <v>1278.3883275511255</v>
      </c>
      <c r="H302" s="18"/>
      <c r="I302" s="25">
        <f>Dimensions!$D$34*A302*A302*A302*0.000000000000000001</f>
        <v>6.043867761840938E-08</v>
      </c>
      <c r="J302" s="25">
        <f t="shared" si="18"/>
        <v>8.522588850340835</v>
      </c>
      <c r="K302" s="25">
        <f>Dimensions!$D$37*J302</f>
        <v>1278.388327551125</v>
      </c>
    </row>
    <row r="303" spans="1:11" ht="10.5">
      <c r="A303" s="34">
        <f t="shared" si="19"/>
        <v>294</v>
      </c>
      <c r="B303" s="16"/>
      <c r="C303" s="25">
        <f t="shared" si="16"/>
        <v>5.18616E-07</v>
      </c>
      <c r="D303" s="18"/>
      <c r="E303" s="25">
        <f>Dimensions!$D$33*A303*A303*A303*0.000000000000000001</f>
        <v>4.070641207078797E-08</v>
      </c>
      <c r="F303" s="25">
        <f t="shared" si="17"/>
        <v>12.740400679336044</v>
      </c>
      <c r="G303" s="25">
        <f>Dimensions!$D$36*F303</f>
        <v>1274.0400679336044</v>
      </c>
      <c r="H303" s="18"/>
      <c r="I303" s="25">
        <f>Dimensions!$D$34*A303*A303*A303*0.000000000000000001</f>
        <v>6.105961810618196E-08</v>
      </c>
      <c r="J303" s="25">
        <f t="shared" si="18"/>
        <v>8.493600452890696</v>
      </c>
      <c r="K303" s="25">
        <f>Dimensions!$D$37*J303</f>
        <v>1274.0400679336042</v>
      </c>
    </row>
    <row r="304" spans="1:11" ht="10.5">
      <c r="A304" s="34">
        <f t="shared" si="19"/>
        <v>295</v>
      </c>
      <c r="B304" s="16"/>
      <c r="C304" s="25">
        <f t="shared" si="16"/>
        <v>5.2215E-07</v>
      </c>
      <c r="D304" s="18"/>
      <c r="E304" s="25">
        <f>Dimensions!$D$33*A304*A304*A304*0.000000000000000001</f>
        <v>4.112319805278426E-08</v>
      </c>
      <c r="F304" s="25">
        <f t="shared" si="17"/>
        <v>12.697212880423038</v>
      </c>
      <c r="G304" s="25">
        <f>Dimensions!$D$36*F304</f>
        <v>1269.7212880423037</v>
      </c>
      <c r="H304" s="18"/>
      <c r="I304" s="25">
        <f>Dimensions!$D$34*A304*A304*A304*0.000000000000000001</f>
        <v>6.168479707917637E-08</v>
      </c>
      <c r="J304" s="25">
        <f t="shared" si="18"/>
        <v>8.464808586948696</v>
      </c>
      <c r="K304" s="25">
        <f>Dimensions!$D$37*J304</f>
        <v>1269.7212880423042</v>
      </c>
    </row>
    <row r="305" spans="1:11" ht="10.5">
      <c r="A305" s="34">
        <f t="shared" si="19"/>
        <v>296</v>
      </c>
      <c r="B305" s="16"/>
      <c r="C305" s="25">
        <f t="shared" si="16"/>
        <v>5.25696E-07</v>
      </c>
      <c r="D305" s="18"/>
      <c r="E305" s="25">
        <f>Dimensions!$D$33*A305*A305*A305*0.000000000000000001</f>
        <v>4.154281930267272E-08</v>
      </c>
      <c r="F305" s="25">
        <f t="shared" si="17"/>
        <v>12.654316890962154</v>
      </c>
      <c r="G305" s="25">
        <f>Dimensions!$D$36*F305</f>
        <v>1265.4316890962155</v>
      </c>
      <c r="H305" s="18"/>
      <c r="I305" s="25">
        <f>Dimensions!$D$34*A305*A305*A305*0.000000000000000001</f>
        <v>6.231422895400907E-08</v>
      </c>
      <c r="J305" s="25">
        <f t="shared" si="18"/>
        <v>8.436211260641437</v>
      </c>
      <c r="K305" s="25">
        <f>Dimensions!$D$37*J305</f>
        <v>1265.4316890962155</v>
      </c>
    </row>
    <row r="306" spans="1:11" ht="10.5">
      <c r="A306" s="34">
        <f t="shared" si="19"/>
        <v>297</v>
      </c>
      <c r="B306" s="16"/>
      <c r="C306" s="25">
        <f t="shared" si="16"/>
        <v>5.29254E-07</v>
      </c>
      <c r="D306" s="18"/>
      <c r="E306" s="25">
        <f>Dimensions!$D$33*A306*A306*A306*0.000000000000000001</f>
        <v>4.196528543153097E-08</v>
      </c>
      <c r="F306" s="25">
        <f t="shared" si="17"/>
        <v>12.611709763383155</v>
      </c>
      <c r="G306" s="25">
        <f>Dimensions!$D$36*F306</f>
        <v>1261.1709763383155</v>
      </c>
      <c r="H306" s="18"/>
      <c r="I306" s="25">
        <f>Dimensions!$D$34*A306*A306*A306*0.000000000000000001</f>
        <v>6.294792814729644E-08</v>
      </c>
      <c r="J306" s="25">
        <f t="shared" si="18"/>
        <v>8.407806508922103</v>
      </c>
      <c r="K306" s="25">
        <f>Dimensions!$D$37*J306</f>
        <v>1261.1709763383153</v>
      </c>
    </row>
    <row r="307" spans="1:11" ht="10.5">
      <c r="A307" s="34">
        <f t="shared" si="19"/>
        <v>298</v>
      </c>
      <c r="B307" s="16"/>
      <c r="C307" s="25">
        <f t="shared" si="16"/>
        <v>5.32824E-07</v>
      </c>
      <c r="D307" s="18"/>
      <c r="E307" s="25">
        <f>Dimensions!$D$33*A307*A307*A307*0.000000000000000001</f>
        <v>4.239060605043659E-08</v>
      </c>
      <c r="F307" s="25">
        <f t="shared" si="17"/>
        <v>12.569388589680528</v>
      </c>
      <c r="G307" s="25">
        <f>Dimensions!$D$36*F307</f>
        <v>1256.938858968053</v>
      </c>
      <c r="H307" s="18"/>
      <c r="I307" s="25">
        <f>Dimensions!$D$34*A307*A307*A307*0.000000000000000001</f>
        <v>6.358590907565488E-08</v>
      </c>
      <c r="J307" s="25">
        <f t="shared" si="18"/>
        <v>8.379592393120353</v>
      </c>
      <c r="K307" s="25">
        <f>Dimensions!$D$37*J307</f>
        <v>1256.9388589680527</v>
      </c>
    </row>
    <row r="308" spans="1:11" ht="10.5">
      <c r="A308" s="34">
        <f t="shared" si="19"/>
        <v>299</v>
      </c>
      <c r="B308" s="16"/>
      <c r="C308" s="25">
        <f t="shared" si="16"/>
        <v>5.36406E-07</v>
      </c>
      <c r="D308" s="18"/>
      <c r="E308" s="25">
        <f>Dimensions!$D$33*A308*A308*A308*0.000000000000000001</f>
        <v>4.281879077046719E-08</v>
      </c>
      <c r="F308" s="25">
        <f t="shared" si="17"/>
        <v>12.52735050075183</v>
      </c>
      <c r="G308" s="25">
        <f>Dimensions!$D$36*F308</f>
        <v>1252.735050075183</v>
      </c>
      <c r="H308" s="18"/>
      <c r="I308" s="25">
        <f>Dimensions!$D$34*A308*A308*A308*0.000000000000000001</f>
        <v>6.422818615570077E-08</v>
      </c>
      <c r="J308" s="25">
        <f t="shared" si="18"/>
        <v>8.351567000501221</v>
      </c>
      <c r="K308" s="25">
        <f>Dimensions!$D$37*J308</f>
        <v>1252.735050075183</v>
      </c>
    </row>
    <row r="309" spans="1:11" ht="10.5">
      <c r="A309" s="34">
        <f t="shared" si="19"/>
        <v>300</v>
      </c>
      <c r="B309" s="16"/>
      <c r="C309" s="25">
        <f t="shared" si="16"/>
        <v>5.4E-07</v>
      </c>
      <c r="D309" s="18"/>
      <c r="E309" s="25">
        <f>Dimensions!$D$33*A309*A309*A309*0.000000000000000001</f>
        <v>4.324984920270037E-08</v>
      </c>
      <c r="F309" s="25">
        <f t="shared" si="17"/>
        <v>12.485592665749325</v>
      </c>
      <c r="G309" s="25">
        <f>Dimensions!$D$36*F309</f>
        <v>1248.5592665749325</v>
      </c>
      <c r="H309" s="18"/>
      <c r="I309" s="25">
        <f>Dimensions!$D$34*A309*A309*A309*0.000000000000000001</f>
        <v>6.487477380405055E-08</v>
      </c>
      <c r="J309" s="25">
        <f t="shared" si="18"/>
        <v>8.323728443832884</v>
      </c>
      <c r="K309" s="25">
        <f>Dimensions!$D$37*J309</f>
        <v>1248.5592665749325</v>
      </c>
    </row>
    <row r="310" spans="1:11" ht="10.5">
      <c r="A310" s="34">
        <f t="shared" si="19"/>
        <v>301</v>
      </c>
      <c r="B310" s="16"/>
      <c r="C310" s="25">
        <f t="shared" si="16"/>
        <v>5.43606E-07</v>
      </c>
      <c r="D310" s="18"/>
      <c r="E310" s="25">
        <f>Dimensions!$D$33*A310*A310*A310*0.000000000000000001</f>
        <v>4.368379095821373E-08</v>
      </c>
      <c r="F310" s="25">
        <f t="shared" si="17"/>
        <v>12.44411229144451</v>
      </c>
      <c r="G310" s="25">
        <f>Dimensions!$D$36*F310</f>
        <v>1244.411229144451</v>
      </c>
      <c r="H310" s="18"/>
      <c r="I310" s="25">
        <f>Dimensions!$D$34*A310*A310*A310*0.000000000000000001</f>
        <v>6.55256864373206E-08</v>
      </c>
      <c r="J310" s="25">
        <f t="shared" si="18"/>
        <v>8.296074860963007</v>
      </c>
      <c r="K310" s="25">
        <f>Dimensions!$D$37*J310</f>
        <v>1244.4112291444508</v>
      </c>
    </row>
    <row r="311" spans="1:11" ht="10.5">
      <c r="A311" s="34">
        <f t="shared" si="19"/>
        <v>302</v>
      </c>
      <c r="B311" s="16"/>
      <c r="C311" s="25">
        <f t="shared" si="16"/>
        <v>5.47224E-07</v>
      </c>
      <c r="D311" s="18"/>
      <c r="E311" s="25">
        <f>Dimensions!$D$33*A311*A311*A311*0.000000000000000001</f>
        <v>4.412062564808488E-08</v>
      </c>
      <c r="F311" s="25">
        <f t="shared" si="17"/>
        <v>12.402906621605286</v>
      </c>
      <c r="G311" s="25">
        <f>Dimensions!$D$36*F311</f>
        <v>1240.2906621605287</v>
      </c>
      <c r="H311" s="18"/>
      <c r="I311" s="25">
        <f>Dimensions!$D$34*A311*A311*A311*0.000000000000000001</f>
        <v>6.61809384721273E-08</v>
      </c>
      <c r="J311" s="25">
        <f t="shared" si="18"/>
        <v>8.268604414403526</v>
      </c>
      <c r="K311" s="25">
        <f>Dimensions!$D$37*J311</f>
        <v>1240.2906621605287</v>
      </c>
    </row>
    <row r="312" spans="1:11" ht="10.5">
      <c r="A312" s="34">
        <f t="shared" si="19"/>
        <v>303</v>
      </c>
      <c r="B312" s="16"/>
      <c r="C312" s="25">
        <f t="shared" si="16"/>
        <v>5.50854E-07</v>
      </c>
      <c r="D312" s="18"/>
      <c r="E312" s="25">
        <f>Dimensions!$D$33*A312*A312*A312*0.000000000000000001</f>
        <v>4.45603628833914E-08</v>
      </c>
      <c r="F312" s="25">
        <f t="shared" si="17"/>
        <v>12.361972936385468</v>
      </c>
      <c r="G312" s="25">
        <f>Dimensions!$D$36*F312</f>
        <v>1236.1972936385469</v>
      </c>
      <c r="H312" s="18"/>
      <c r="I312" s="25">
        <f>Dimensions!$D$34*A312*A312*A312*0.000000000000000001</f>
        <v>6.68405443250871E-08</v>
      </c>
      <c r="J312" s="25">
        <f t="shared" si="18"/>
        <v>8.241315290923644</v>
      </c>
      <c r="K312" s="25">
        <f>Dimensions!$D$37*J312</f>
        <v>1236.1972936385464</v>
      </c>
    </row>
    <row r="313" spans="1:11" ht="10.5">
      <c r="A313" s="34">
        <f t="shared" si="19"/>
        <v>304</v>
      </c>
      <c r="B313" s="16"/>
      <c r="C313" s="25">
        <f t="shared" si="16"/>
        <v>5.544959999999999E-07</v>
      </c>
      <c r="D313" s="18"/>
      <c r="E313" s="25">
        <f>Dimensions!$D$33*A313*A313*A313*0.000000000000000001</f>
        <v>4.5003012275210904E-08</v>
      </c>
      <c r="F313" s="25">
        <f t="shared" si="17"/>
        <v>12.321308551726304</v>
      </c>
      <c r="G313" s="25">
        <f>Dimensions!$D$36*F313</f>
        <v>1232.1308551726304</v>
      </c>
      <c r="H313" s="18"/>
      <c r="I313" s="25">
        <f>Dimensions!$D$34*A313*A313*A313*0.000000000000000001</f>
        <v>6.750451841281635E-08</v>
      </c>
      <c r="J313" s="25">
        <f t="shared" si="18"/>
        <v>8.21420570115087</v>
      </c>
      <c r="K313" s="25">
        <f>Dimensions!$D$37*J313</f>
        <v>1232.1308551726304</v>
      </c>
    </row>
    <row r="314" spans="1:11" ht="10.5">
      <c r="A314" s="34">
        <f t="shared" si="19"/>
        <v>305</v>
      </c>
      <c r="B314" s="16"/>
      <c r="C314" s="25">
        <f t="shared" si="16"/>
        <v>5.5815E-07</v>
      </c>
      <c r="D314" s="18"/>
      <c r="E314" s="25">
        <f>Dimensions!$D$33*A314*A314*A314*0.000000000000000001</f>
        <v>4.5448583434620985E-08</v>
      </c>
      <c r="F314" s="25">
        <f t="shared" si="17"/>
        <v>12.280910818769827</v>
      </c>
      <c r="G314" s="25">
        <f>Dimensions!$D$36*F314</f>
        <v>1228.0910818769828</v>
      </c>
      <c r="H314" s="18"/>
      <c r="I314" s="25">
        <f>Dimensions!$D$34*A314*A314*A314*0.000000000000000001</f>
        <v>6.817287515193147E-08</v>
      </c>
      <c r="J314" s="25">
        <f t="shared" si="18"/>
        <v>8.187273879179886</v>
      </c>
      <c r="K314" s="25">
        <f>Dimensions!$D$37*J314</f>
        <v>1228.0910818769826</v>
      </c>
    </row>
    <row r="315" spans="1:11" ht="10.5">
      <c r="A315" s="34">
        <f t="shared" si="19"/>
        <v>306</v>
      </c>
      <c r="B315" s="16"/>
      <c r="C315" s="25">
        <f t="shared" si="16"/>
        <v>5.61816E-07</v>
      </c>
      <c r="D315" s="18"/>
      <c r="E315" s="25">
        <f>Dimensions!$D$33*A315*A315*A315*0.000000000000000001</f>
        <v>4.589708597269926E-08</v>
      </c>
      <c r="F315" s="25">
        <f t="shared" si="17"/>
        <v>12.24077712328365</v>
      </c>
      <c r="G315" s="25">
        <f>Dimensions!$D$36*F315</f>
        <v>1224.077712328365</v>
      </c>
      <c r="H315" s="18"/>
      <c r="I315" s="25">
        <f>Dimensions!$D$34*A315*A315*A315*0.000000000000000001</f>
        <v>6.884562895904888E-08</v>
      </c>
      <c r="J315" s="25">
        <f t="shared" si="18"/>
        <v>8.160518082189101</v>
      </c>
      <c r="K315" s="25">
        <f>Dimensions!$D$37*J315</f>
        <v>1224.077712328365</v>
      </c>
    </row>
    <row r="316" spans="1:11" ht="10.5">
      <c r="A316" s="34">
        <f t="shared" si="19"/>
        <v>307</v>
      </c>
      <c r="B316" s="16"/>
      <c r="C316" s="25">
        <f t="shared" si="16"/>
        <v>5.65494E-07</v>
      </c>
      <c r="D316" s="18"/>
      <c r="E316" s="25">
        <f>Dimensions!$D$33*A316*A316*A316*0.000000000000000001</f>
        <v>4.63485295005233E-08</v>
      </c>
      <c r="F316" s="25">
        <f t="shared" si="17"/>
        <v>12.20090488509706</v>
      </c>
      <c r="G316" s="25">
        <f>Dimensions!$D$36*F316</f>
        <v>1220.0904885097061</v>
      </c>
      <c r="H316" s="18"/>
      <c r="I316" s="25">
        <f>Dimensions!$D$34*A316*A316*A316*0.000000000000000001</f>
        <v>6.952279425078496E-08</v>
      </c>
      <c r="J316" s="25">
        <f t="shared" si="18"/>
        <v>8.133936590064705</v>
      </c>
      <c r="K316" s="25">
        <f>Dimensions!$D$37*J316</f>
        <v>1220.0904885097054</v>
      </c>
    </row>
    <row r="317" spans="1:11" ht="10.5">
      <c r="A317" s="34">
        <f t="shared" si="19"/>
        <v>308</v>
      </c>
      <c r="B317" s="16"/>
      <c r="C317" s="25">
        <f t="shared" si="16"/>
        <v>5.69184E-07</v>
      </c>
      <c r="D317" s="18"/>
      <c r="E317" s="25">
        <f>Dimensions!$D$33*A317*A317*A317*0.000000000000000001</f>
        <v>4.6802923629170744E-08</v>
      </c>
      <c r="F317" s="25">
        <f t="shared" si="17"/>
        <v>12.161291557548044</v>
      </c>
      <c r="G317" s="25">
        <f>Dimensions!$D$36*F317</f>
        <v>1216.1291557548043</v>
      </c>
      <c r="H317" s="18"/>
      <c r="I317" s="25">
        <f>Dimensions!$D$34*A317*A317*A317*0.000000000000000001</f>
        <v>7.020438544375612E-08</v>
      </c>
      <c r="J317" s="25">
        <f t="shared" si="18"/>
        <v>8.107527705032028</v>
      </c>
      <c r="K317" s="25">
        <f>Dimensions!$D$37*J317</f>
        <v>1216.129155754804</v>
      </c>
    </row>
    <row r="318" spans="1:11" ht="10.5">
      <c r="A318" s="34">
        <f t="shared" si="19"/>
        <v>309</v>
      </c>
      <c r="B318" s="16"/>
      <c r="C318" s="25">
        <f t="shared" si="16"/>
        <v>5.72886E-07</v>
      </c>
      <c r="D318" s="18"/>
      <c r="E318" s="25">
        <f>Dimensions!$D$33*A318*A318*A318*0.000000000000000001</f>
        <v>4.726027796971917E-08</v>
      </c>
      <c r="F318" s="25">
        <f t="shared" si="17"/>
        <v>12.12193462694109</v>
      </c>
      <c r="G318" s="25">
        <f>Dimensions!$D$36*F318</f>
        <v>1212.193462694109</v>
      </c>
      <c r="H318" s="18"/>
      <c r="I318" s="25">
        <f>Dimensions!$D$34*A318*A318*A318*0.000000000000000001</f>
        <v>7.089041695457876E-08</v>
      </c>
      <c r="J318" s="25">
        <f t="shared" si="18"/>
        <v>8.08128975129406</v>
      </c>
      <c r="K318" s="25">
        <f>Dimensions!$D$37*J318</f>
        <v>1212.1934626941088</v>
      </c>
    </row>
    <row r="319" spans="1:11" ht="10.5">
      <c r="A319" s="34">
        <f t="shared" si="19"/>
        <v>310</v>
      </c>
      <c r="B319" s="16"/>
      <c r="C319" s="25">
        <f t="shared" si="16"/>
        <v>5.766E-07</v>
      </c>
      <c r="D319" s="18"/>
      <c r="E319" s="25">
        <f>Dimensions!$D$33*A319*A319*A319*0.000000000000000001</f>
        <v>4.7720602133246184E-08</v>
      </c>
      <c r="F319" s="25">
        <f t="shared" si="17"/>
        <v>12.082831612015474</v>
      </c>
      <c r="G319" s="25">
        <f>Dimensions!$D$36*F319</f>
        <v>1208.2831612015473</v>
      </c>
      <c r="H319" s="18"/>
      <c r="I319" s="25">
        <f>Dimensions!$D$34*A319*A319*A319*0.000000000000000001</f>
        <v>7.158090319986926E-08</v>
      </c>
      <c r="J319" s="25">
        <f t="shared" si="18"/>
        <v>8.055221074676984</v>
      </c>
      <c r="K319" s="25">
        <f>Dimensions!$D$37*J319</f>
        <v>1208.2831612015475</v>
      </c>
    </row>
    <row r="320" spans="1:11" ht="10.5">
      <c r="A320" s="34">
        <f t="shared" si="19"/>
        <v>311</v>
      </c>
      <c r="B320" s="16"/>
      <c r="C320" s="25">
        <f t="shared" si="16"/>
        <v>5.80326E-07</v>
      </c>
      <c r="D320" s="18"/>
      <c r="E320" s="25">
        <f>Dimensions!$D$33*A320*A320*A320*0.000000000000000001</f>
        <v>4.818390573082937E-08</v>
      </c>
      <c r="F320" s="25">
        <f t="shared" si="17"/>
        <v>12.043980063423785</v>
      </c>
      <c r="G320" s="25">
        <f>Dimensions!$D$36*F320</f>
        <v>1204.3980063423785</v>
      </c>
      <c r="H320" s="18"/>
      <c r="I320" s="25">
        <f>Dimensions!$D$34*A320*A320*A320*0.000000000000000001</f>
        <v>7.227585859624406E-08</v>
      </c>
      <c r="J320" s="25">
        <f t="shared" si="18"/>
        <v>8.029320042282523</v>
      </c>
      <c r="K320" s="25">
        <f>Dimensions!$D$37*J320</f>
        <v>1204.3980063423783</v>
      </c>
    </row>
    <row r="321" spans="1:11" ht="10.5">
      <c r="A321" s="34">
        <f t="shared" si="19"/>
        <v>312</v>
      </c>
      <c r="B321" s="16"/>
      <c r="C321" s="25">
        <f t="shared" si="16"/>
        <v>5.84064E-07</v>
      </c>
      <c r="D321" s="18"/>
      <c r="E321" s="25">
        <f>Dimensions!$D$33*A321*A321*A321*0.000000000000000001</f>
        <v>4.865019837354635E-08</v>
      </c>
      <c r="F321" s="25">
        <f t="shared" si="17"/>
        <v>12.005377563220502</v>
      </c>
      <c r="G321" s="25">
        <f>Dimensions!$D$36*F321</f>
        <v>1200.5377563220502</v>
      </c>
      <c r="H321" s="18"/>
      <c r="I321" s="25">
        <f>Dimensions!$D$34*A321*A321*A321*0.000000000000000001</f>
        <v>7.297529756031953E-08</v>
      </c>
      <c r="J321" s="25">
        <f t="shared" si="18"/>
        <v>8.003585042147002</v>
      </c>
      <c r="K321" s="25">
        <f>Dimensions!$D$37*J321</f>
        <v>1200.53775632205</v>
      </c>
    </row>
    <row r="322" spans="1:11" ht="10.5">
      <c r="A322" s="34">
        <f t="shared" si="19"/>
        <v>313</v>
      </c>
      <c r="B322" s="16"/>
      <c r="C322" s="25">
        <f t="shared" si="16"/>
        <v>5.87814E-07</v>
      </c>
      <c r="D322" s="18"/>
      <c r="E322" s="25">
        <f>Dimensions!$D$33*A322*A322*A322*0.000000000000000001</f>
        <v>4.911948967247472E-08</v>
      </c>
      <c r="F322" s="25">
        <f t="shared" si="17"/>
        <v>11.967021724360373</v>
      </c>
      <c r="G322" s="25">
        <f>Dimensions!$D$36*F322</f>
        <v>1196.7021724360372</v>
      </c>
      <c r="H322" s="18"/>
      <c r="I322" s="25">
        <f>Dimensions!$D$34*A322*A322*A322*0.000000000000000001</f>
        <v>7.367923450871208E-08</v>
      </c>
      <c r="J322" s="25">
        <f t="shared" si="18"/>
        <v>7.978014482906916</v>
      </c>
      <c r="K322" s="25">
        <f>Dimensions!$D$37*J322</f>
        <v>1196.7021724360372</v>
      </c>
    </row>
    <row r="323" spans="1:11" ht="10.5">
      <c r="A323" s="34">
        <f t="shared" si="19"/>
        <v>314</v>
      </c>
      <c r="B323" s="16"/>
      <c r="C323" s="25">
        <f t="shared" si="16"/>
        <v>5.91576E-07</v>
      </c>
      <c r="D323" s="18"/>
      <c r="E323" s="25">
        <f>Dimensions!$D$33*A323*A323*A323*0.000000000000000001</f>
        <v>4.959178923869207E-08</v>
      </c>
      <c r="F323" s="25">
        <f t="shared" si="17"/>
        <v>11.92891019020636</v>
      </c>
      <c r="G323" s="25">
        <f>Dimensions!$D$36*F323</f>
        <v>1192.891019020636</v>
      </c>
      <c r="H323" s="18"/>
      <c r="I323" s="25">
        <f>Dimensions!$D$34*A323*A323*A323*0.000000000000000001</f>
        <v>7.438768385803812E-08</v>
      </c>
      <c r="J323" s="25">
        <f t="shared" si="18"/>
        <v>7.952606793470905</v>
      </c>
      <c r="K323" s="25">
        <f>Dimensions!$D$37*J323</f>
        <v>1192.8910190206357</v>
      </c>
    </row>
    <row r="324" spans="1:11" ht="10.5">
      <c r="A324" s="34">
        <f t="shared" si="19"/>
        <v>315</v>
      </c>
      <c r="B324" s="16"/>
      <c r="C324" s="25">
        <f t="shared" si="16"/>
        <v>5.953499999999999E-07</v>
      </c>
      <c r="D324" s="18"/>
      <c r="E324" s="25">
        <f>Dimensions!$D$33*A324*A324*A324*0.000000000000000001</f>
        <v>5.006710668327603E-08</v>
      </c>
      <c r="F324" s="25">
        <f t="shared" si="17"/>
        <v>11.891040634046972</v>
      </c>
      <c r="G324" s="25">
        <f>Dimensions!$D$36*F324</f>
        <v>1189.1040634046972</v>
      </c>
      <c r="H324" s="18"/>
      <c r="I324" s="25">
        <f>Dimensions!$D$34*A324*A324*A324*0.000000000000000001</f>
        <v>7.510066002491402E-08</v>
      </c>
      <c r="J324" s="25">
        <f t="shared" si="18"/>
        <v>7.9273604226979835</v>
      </c>
      <c r="K324" s="25">
        <f>Dimensions!$D$37*J324</f>
        <v>1189.1040634046974</v>
      </c>
    </row>
    <row r="325" spans="1:11" ht="10.5">
      <c r="A325" s="34">
        <f t="shared" si="19"/>
        <v>316</v>
      </c>
      <c r="B325" s="16"/>
      <c r="C325" s="25">
        <f t="shared" si="16"/>
        <v>5.991359999999999E-07</v>
      </c>
      <c r="D325" s="18"/>
      <c r="E325" s="25">
        <f>Dimensions!$D$33*A325*A325*A325*0.000000000000000001</f>
        <v>5.054545161730415E-08</v>
      </c>
      <c r="F325" s="25">
        <f t="shared" si="17"/>
        <v>11.853410758622775</v>
      </c>
      <c r="G325" s="25">
        <f>Dimensions!$D$36*F325</f>
        <v>1185.3410758622776</v>
      </c>
      <c r="H325" s="18"/>
      <c r="I325" s="25">
        <f>Dimensions!$D$34*A325*A325*A325*0.000000000000000001</f>
        <v>7.581817742595622E-08</v>
      </c>
      <c r="J325" s="25">
        <f t="shared" si="18"/>
        <v>7.90227383908185</v>
      </c>
      <c r="K325" s="25">
        <f>Dimensions!$D$37*J325</f>
        <v>1185.3410758622774</v>
      </c>
    </row>
    <row r="326" spans="1:11" ht="10.5">
      <c r="A326" s="34">
        <f t="shared" si="19"/>
        <v>317</v>
      </c>
      <c r="B326" s="16"/>
      <c r="C326" s="25">
        <f t="shared" si="16"/>
        <v>6.02934E-07</v>
      </c>
      <c r="D326" s="18"/>
      <c r="E326" s="25">
        <f>Dimensions!$D$33*A326*A326*A326*0.000000000000000001</f>
        <v>5.102683365185407E-08</v>
      </c>
      <c r="F326" s="25">
        <f t="shared" si="17"/>
        <v>11.81601829566182</v>
      </c>
      <c r="G326" s="25">
        <f>Dimensions!$D$36*F326</f>
        <v>1181.601829566182</v>
      </c>
      <c r="H326" s="18"/>
      <c r="I326" s="25">
        <f>Dimensions!$D$34*A326*A326*A326*0.000000000000000001</f>
        <v>7.65402504777811E-08</v>
      </c>
      <c r="J326" s="25">
        <f t="shared" si="18"/>
        <v>7.8773455304412145</v>
      </c>
      <c r="K326" s="25">
        <f>Dimensions!$D$37*J326</f>
        <v>1181.601829566182</v>
      </c>
    </row>
    <row r="327" spans="1:11" ht="10.5">
      <c r="A327" s="34">
        <f t="shared" si="19"/>
        <v>318</v>
      </c>
      <c r="B327" s="16"/>
      <c r="C327" s="25">
        <f t="shared" si="16"/>
        <v>6.06744E-07</v>
      </c>
      <c r="D327" s="18"/>
      <c r="E327" s="25">
        <f>Dimensions!$D$33*A327*A327*A327*0.000000000000000001</f>
        <v>5.151126239800339E-08</v>
      </c>
      <c r="F327" s="25">
        <f t="shared" si="17"/>
        <v>11.778861005423888</v>
      </c>
      <c r="G327" s="25">
        <f>Dimensions!$D$36*F327</f>
        <v>1177.8861005423887</v>
      </c>
      <c r="H327" s="18"/>
      <c r="I327" s="25">
        <f>Dimensions!$D$34*A327*A327*A327*0.000000000000000001</f>
        <v>7.726689359700507E-08</v>
      </c>
      <c r="J327" s="25">
        <f t="shared" si="18"/>
        <v>7.852574003615928</v>
      </c>
      <c r="K327" s="25">
        <f>Dimensions!$D$37*J327</f>
        <v>1177.886100542389</v>
      </c>
    </row>
    <row r="328" spans="1:11" ht="10.5">
      <c r="A328" s="34">
        <f t="shared" si="19"/>
        <v>319</v>
      </c>
      <c r="B328" s="16"/>
      <c r="C328" s="25">
        <f t="shared" si="16"/>
        <v>6.105659999999999E-07</v>
      </c>
      <c r="D328" s="18"/>
      <c r="E328" s="25">
        <f>Dimensions!$D$33*A328*A328*A328*0.000000000000000001</f>
        <v>5.199874746682969E-08</v>
      </c>
      <c r="F328" s="25">
        <f t="shared" si="17"/>
        <v>11.74193667625328</v>
      </c>
      <c r="G328" s="25">
        <f>Dimensions!$D$36*F328</f>
        <v>1174.193667625328</v>
      </c>
      <c r="H328" s="18"/>
      <c r="I328" s="25">
        <f>Dimensions!$D$34*A328*A328*A328*0.000000000000000001</f>
        <v>7.799812120024453E-08</v>
      </c>
      <c r="J328" s="25">
        <f t="shared" si="18"/>
        <v>7.827957784168855</v>
      </c>
      <c r="K328" s="25">
        <f>Dimensions!$D$37*J328</f>
        <v>1174.193667625328</v>
      </c>
    </row>
    <row r="329" spans="1:11" ht="10.5">
      <c r="A329" s="34">
        <f t="shared" si="19"/>
        <v>320</v>
      </c>
      <c r="B329" s="16"/>
      <c r="C329" s="25">
        <f t="shared" si="16"/>
        <v>6.144E-07</v>
      </c>
      <c r="D329" s="18"/>
      <c r="E329" s="25">
        <f>Dimensions!$D$33*A329*A329*A329*0.000000000000000001</f>
        <v>5.2489298469410595E-08</v>
      </c>
      <c r="F329" s="25">
        <f t="shared" si="17"/>
        <v>11.705243124139988</v>
      </c>
      <c r="G329" s="25">
        <f>Dimensions!$D$36*F329</f>
        <v>1170.5243124139988</v>
      </c>
      <c r="H329" s="18"/>
      <c r="I329" s="25">
        <f>Dimensions!$D$34*A329*A329*A329*0.000000000000000001</f>
        <v>7.873394770411589E-08</v>
      </c>
      <c r="J329" s="25">
        <f t="shared" si="18"/>
        <v>7.803495416093327</v>
      </c>
      <c r="K329" s="25">
        <f>Dimensions!$D$37*J329</f>
        <v>1170.5243124139988</v>
      </c>
    </row>
    <row r="330" spans="1:11" ht="10.5">
      <c r="A330" s="34">
        <f t="shared" si="19"/>
        <v>321</v>
      </c>
      <c r="B330" s="16"/>
      <c r="C330" s="25">
        <f t="shared" si="16"/>
        <v>6.18246E-07</v>
      </c>
      <c r="D330" s="18"/>
      <c r="E330" s="25">
        <f>Dimensions!$D$33*A330*A330*A330*0.000000000000000001</f>
        <v>5.2982925016823674E-08</v>
      </c>
      <c r="F330" s="25">
        <f t="shared" si="17"/>
        <v>11.668778192289086</v>
      </c>
      <c r="G330" s="25">
        <f>Dimensions!$D$36*F330</f>
        <v>1166.8778192289085</v>
      </c>
      <c r="H330" s="18"/>
      <c r="I330" s="25">
        <f>Dimensions!$D$34*A330*A330*A330*0.000000000000000001</f>
        <v>7.947438752523551E-08</v>
      </c>
      <c r="J330" s="25">
        <f t="shared" si="18"/>
        <v>7.779185461526057</v>
      </c>
      <c r="K330" s="25">
        <f>Dimensions!$D$37*J330</f>
        <v>1166.8778192289085</v>
      </c>
    </row>
    <row r="331" spans="1:11" ht="10.5">
      <c r="A331" s="34">
        <f t="shared" si="19"/>
        <v>322</v>
      </c>
      <c r="B331" s="16"/>
      <c r="C331" s="25">
        <f aca="true" t="shared" si="20" ref="C331:C394">6*A331*A331*0.000000000001</f>
        <v>6.221039999999999E-07</v>
      </c>
      <c r="D331" s="18"/>
      <c r="E331" s="25">
        <f>Dimensions!$D$33*A331*A331*A331*0.000000000000000001</f>
        <v>5.3479636720146554E-08</v>
      </c>
      <c r="F331" s="25">
        <f aca="true" t="shared" si="21" ref="F331:F394">C331/E331</f>
        <v>11.632539750698125</v>
      </c>
      <c r="G331" s="25">
        <f>Dimensions!$D$36*F331</f>
        <v>1163.2539750698124</v>
      </c>
      <c r="H331" s="18"/>
      <c r="I331" s="25">
        <f>Dimensions!$D$34*A331*A331*A331*0.000000000000000001</f>
        <v>8.021945508021982E-08</v>
      </c>
      <c r="J331" s="25">
        <f aca="true" t="shared" si="22" ref="J331:J394">C331/I331</f>
        <v>7.7550265004654175</v>
      </c>
      <c r="K331" s="25">
        <f>Dimensions!$D$37*J331</f>
        <v>1163.2539750698124</v>
      </c>
    </row>
    <row r="332" spans="1:11" ht="10.5">
      <c r="A332" s="34">
        <f aca="true" t="shared" si="23" ref="A332:A395">A331+1</f>
        <v>323</v>
      </c>
      <c r="B332" s="16"/>
      <c r="C332" s="25">
        <f t="shared" si="20"/>
        <v>6.259739999999999E-07</v>
      </c>
      <c r="D332" s="18"/>
      <c r="E332" s="25">
        <f>Dimensions!$D$33*A332*A332*A332*0.000000000000000001</f>
        <v>5.397944319045683E-08</v>
      </c>
      <c r="F332" s="25">
        <f t="shared" si="21"/>
        <v>11.596525695742404</v>
      </c>
      <c r="G332" s="25">
        <f>Dimensions!$D$36*F332</f>
        <v>1159.6525695742405</v>
      </c>
      <c r="H332" s="18"/>
      <c r="I332" s="25">
        <f>Dimensions!$D$34*A332*A332*A332*0.000000000000000001</f>
        <v>8.096916478568524E-08</v>
      </c>
      <c r="J332" s="25">
        <f t="shared" si="22"/>
        <v>7.731017130494936</v>
      </c>
      <c r="K332" s="25">
        <f>Dimensions!$D$37*J332</f>
        <v>1159.6525695742403</v>
      </c>
    </row>
    <row r="333" spans="1:11" ht="10.5">
      <c r="A333" s="34">
        <f t="shared" si="23"/>
        <v>324</v>
      </c>
      <c r="B333" s="16"/>
      <c r="C333" s="25">
        <f t="shared" si="20"/>
        <v>6.298559999999999E-07</v>
      </c>
      <c r="D333" s="18"/>
      <c r="E333" s="25">
        <f>Dimensions!$D$33*A333*A333*A333*0.000000000000000001</f>
        <v>5.44823540388321E-08</v>
      </c>
      <c r="F333" s="25">
        <f t="shared" si="21"/>
        <v>11.56073394976789</v>
      </c>
      <c r="G333" s="25">
        <f>Dimensions!$D$36*F333</f>
        <v>1156.073394976789</v>
      </c>
      <c r="H333" s="18"/>
      <c r="I333" s="25">
        <f>Dimensions!$D$34*A333*A333*A333*0.000000000000000001</f>
        <v>8.172353105824813E-08</v>
      </c>
      <c r="J333" s="25">
        <f t="shared" si="22"/>
        <v>7.7071559665119285</v>
      </c>
      <c r="K333" s="25">
        <f>Dimensions!$D$37*J333</f>
        <v>1156.0733949767891</v>
      </c>
    </row>
    <row r="334" spans="1:11" ht="10.5">
      <c r="A334" s="34">
        <f t="shared" si="23"/>
        <v>325</v>
      </c>
      <c r="B334" s="16"/>
      <c r="C334" s="25">
        <f t="shared" si="20"/>
        <v>6.3375E-07</v>
      </c>
      <c r="D334" s="18"/>
      <c r="E334" s="25">
        <f>Dimensions!$D$33*A334*A334*A334*0.000000000000000001</f>
        <v>5.498837887634996E-08</v>
      </c>
      <c r="F334" s="25">
        <f t="shared" si="21"/>
        <v>11.525162460691682</v>
      </c>
      <c r="G334" s="25">
        <f>Dimensions!$D$36*F334</f>
        <v>1152.5162460691681</v>
      </c>
      <c r="H334" s="18"/>
      <c r="I334" s="25">
        <f>Dimensions!$D$34*A334*A334*A334*0.000000000000000001</f>
        <v>8.248256831452494E-08</v>
      </c>
      <c r="J334" s="25">
        <f t="shared" si="22"/>
        <v>7.683441640461121</v>
      </c>
      <c r="K334" s="25">
        <f>Dimensions!$D$37*J334</f>
        <v>1152.516246069168</v>
      </c>
    </row>
    <row r="335" spans="1:11" ht="10.5">
      <c r="A335" s="34">
        <f t="shared" si="23"/>
        <v>326</v>
      </c>
      <c r="B335" s="16"/>
      <c r="C335" s="25">
        <f t="shared" si="20"/>
        <v>6.37656E-07</v>
      </c>
      <c r="D335" s="18"/>
      <c r="E335" s="25">
        <f>Dimensions!$D$33*A335*A335*A335*0.000000000000000001</f>
        <v>5.5497527314088006E-08</v>
      </c>
      <c r="F335" s="25">
        <f t="shared" si="21"/>
        <v>11.489809201609807</v>
      </c>
      <c r="G335" s="25">
        <f>Dimensions!$D$36*F335</f>
        <v>1148.9809201609808</v>
      </c>
      <c r="H335" s="18"/>
      <c r="I335" s="25">
        <f>Dimensions!$D$34*A335*A335*A335*0.000000000000000001</f>
        <v>8.324629097113199E-08</v>
      </c>
      <c r="J335" s="25">
        <f t="shared" si="22"/>
        <v>7.659872801073207</v>
      </c>
      <c r="K335" s="25">
        <f>Dimensions!$D$37*J335</f>
        <v>1148.9809201609808</v>
      </c>
    </row>
    <row r="336" spans="1:11" ht="10.5">
      <c r="A336" s="34">
        <f t="shared" si="23"/>
        <v>327</v>
      </c>
      <c r="B336" s="16"/>
      <c r="C336" s="25">
        <f t="shared" si="20"/>
        <v>6.415739999999999E-07</v>
      </c>
      <c r="D336" s="18"/>
      <c r="E336" s="25">
        <f>Dimensions!$D$33*A336*A336*A336*0.000000000000000001</f>
        <v>5.600980896312387E-08</v>
      </c>
      <c r="F336" s="25">
        <f t="shared" si="21"/>
        <v>11.45467217041222</v>
      </c>
      <c r="G336" s="25">
        <f>Dimensions!$D$36*F336</f>
        <v>1145.467217041222</v>
      </c>
      <c r="H336" s="18"/>
      <c r="I336" s="25">
        <f>Dimensions!$D$34*A336*A336*A336*0.000000000000000001</f>
        <v>8.401471344468578E-08</v>
      </c>
      <c r="J336" s="25">
        <f t="shared" si="22"/>
        <v>7.636448113608149</v>
      </c>
      <c r="K336" s="25">
        <f>Dimensions!$D$37*J336</f>
        <v>1145.467217041222</v>
      </c>
    </row>
    <row r="337" spans="1:11" ht="10.5">
      <c r="A337" s="34">
        <f t="shared" si="23"/>
        <v>328</v>
      </c>
      <c r="B337" s="16"/>
      <c r="C337" s="25">
        <f t="shared" si="20"/>
        <v>6.45504E-07</v>
      </c>
      <c r="D337" s="18"/>
      <c r="E337" s="25">
        <f>Dimensions!$D$33*A337*A337*A337*0.000000000000000001</f>
        <v>5.652523343453511E-08</v>
      </c>
      <c r="F337" s="25">
        <f t="shared" si="21"/>
        <v>11.419749389404869</v>
      </c>
      <c r="G337" s="25">
        <f>Dimensions!$D$36*F337</f>
        <v>1141.974938940487</v>
      </c>
      <c r="H337" s="18"/>
      <c r="I337" s="25">
        <f>Dimensions!$D$34*A337*A337*A337*0.000000000000000001</f>
        <v>8.478785015180267E-08</v>
      </c>
      <c r="J337" s="25">
        <f t="shared" si="22"/>
        <v>7.613166259603246</v>
      </c>
      <c r="K337" s="25">
        <f>Dimensions!$D$37*J337</f>
        <v>1141.9749389404867</v>
      </c>
    </row>
    <row r="338" spans="1:11" ht="10.5">
      <c r="A338" s="34">
        <f t="shared" si="23"/>
        <v>329</v>
      </c>
      <c r="B338" s="16"/>
      <c r="C338" s="25">
        <f t="shared" si="20"/>
        <v>6.49446E-07</v>
      </c>
      <c r="D338" s="18"/>
      <c r="E338" s="25">
        <f>Dimensions!$D$33*A338*A338*A338*0.000000000000000001</f>
        <v>5.704381033939935E-08</v>
      </c>
      <c r="F338" s="25">
        <f t="shared" si="21"/>
        <v>11.385038904938593</v>
      </c>
      <c r="G338" s="25">
        <f>Dimensions!$D$36*F338</f>
        <v>1138.5038904938592</v>
      </c>
      <c r="H338" s="18"/>
      <c r="I338" s="25">
        <f>Dimensions!$D$34*A338*A338*A338*0.000000000000000001</f>
        <v>8.556571550909904E-08</v>
      </c>
      <c r="J338" s="25">
        <f t="shared" si="22"/>
        <v>7.590025936625728</v>
      </c>
      <c r="K338" s="25">
        <f>Dimensions!$D$37*J338</f>
        <v>1138.503890493859</v>
      </c>
    </row>
    <row r="339" spans="1:11" ht="10.5">
      <c r="A339" s="34">
        <f t="shared" si="23"/>
        <v>330</v>
      </c>
      <c r="B339" s="16"/>
      <c r="C339" s="25">
        <f t="shared" si="20"/>
        <v>6.534E-07</v>
      </c>
      <c r="D339" s="18"/>
      <c r="E339" s="25">
        <f>Dimensions!$D$33*A339*A339*A339*0.000000000000000001</f>
        <v>5.756554928879419E-08</v>
      </c>
      <c r="F339" s="25">
        <f t="shared" si="21"/>
        <v>11.35053878704484</v>
      </c>
      <c r="G339" s="25">
        <f>Dimensions!$D$36*F339</f>
        <v>1135.053878704484</v>
      </c>
      <c r="H339" s="18"/>
      <c r="I339" s="25">
        <f>Dimensions!$D$34*A339*A339*A339*0.000000000000000001</f>
        <v>8.634832393319129E-08</v>
      </c>
      <c r="J339" s="25">
        <f t="shared" si="22"/>
        <v>7.567025858029893</v>
      </c>
      <c r="K339" s="25">
        <f>Dimensions!$D$37*J339</f>
        <v>1135.0538787044836</v>
      </c>
    </row>
    <row r="340" spans="1:11" ht="10.5">
      <c r="A340" s="34">
        <f t="shared" si="23"/>
        <v>331</v>
      </c>
      <c r="B340" s="16"/>
      <c r="C340" s="25">
        <f t="shared" si="20"/>
        <v>6.57366E-07</v>
      </c>
      <c r="D340" s="18"/>
      <c r="E340" s="25">
        <f>Dimensions!$D$33*A340*A340*A340*0.000000000000000001</f>
        <v>5.809045989379724E-08</v>
      </c>
      <c r="F340" s="25">
        <f t="shared" si="21"/>
        <v>11.316247129077935</v>
      </c>
      <c r="G340" s="25">
        <f>Dimensions!$D$36*F340</f>
        <v>1131.6247129077935</v>
      </c>
      <c r="H340" s="18"/>
      <c r="I340" s="25">
        <f>Dimensions!$D$34*A340*A340*A340*0.000000000000000001</f>
        <v>8.713568984069585E-08</v>
      </c>
      <c r="J340" s="25">
        <f t="shared" si="22"/>
        <v>7.544164752718625</v>
      </c>
      <c r="K340" s="25">
        <f>Dimensions!$D$37*J340</f>
        <v>1131.6247129077935</v>
      </c>
    </row>
    <row r="341" spans="1:11" ht="10.5">
      <c r="A341" s="34">
        <f t="shared" si="23"/>
        <v>332</v>
      </c>
      <c r="B341" s="16"/>
      <c r="C341" s="25">
        <f t="shared" si="20"/>
        <v>6.61344E-07</v>
      </c>
      <c r="D341" s="18"/>
      <c r="E341" s="25">
        <f>Dimensions!$D$33*A341*A341*A341*0.000000000000000001</f>
        <v>5.861855176548608E-08</v>
      </c>
      <c r="F341" s="25">
        <f t="shared" si="21"/>
        <v>11.282162047363846</v>
      </c>
      <c r="G341" s="25">
        <f>Dimensions!$D$36*F341</f>
        <v>1128.2162047363845</v>
      </c>
      <c r="H341" s="18"/>
      <c r="I341" s="25">
        <f>Dimensions!$D$34*A341*A341*A341*0.000000000000000001</f>
        <v>8.792782764822911E-08</v>
      </c>
      <c r="J341" s="25">
        <f t="shared" si="22"/>
        <v>7.521441364909231</v>
      </c>
      <c r="K341" s="25">
        <f>Dimensions!$D$37*J341</f>
        <v>1128.2162047363845</v>
      </c>
    </row>
    <row r="342" spans="1:11" ht="10.5">
      <c r="A342" s="34">
        <f t="shared" si="23"/>
        <v>333</v>
      </c>
      <c r="B342" s="16"/>
      <c r="C342" s="25">
        <f t="shared" si="20"/>
        <v>6.65334E-07</v>
      </c>
      <c r="D342" s="18"/>
      <c r="E342" s="25">
        <f>Dimensions!$D$33*A342*A342*A342*0.000000000000000001</f>
        <v>5.914983451493832E-08</v>
      </c>
      <c r="F342" s="25">
        <f t="shared" si="21"/>
        <v>11.248281680855245</v>
      </c>
      <c r="G342" s="25">
        <f>Dimensions!$D$36*F342</f>
        <v>1124.8281680855246</v>
      </c>
      <c r="H342" s="18"/>
      <c r="I342" s="25">
        <f>Dimensions!$D$34*A342*A342*A342*0.000000000000000001</f>
        <v>8.872475177240747E-08</v>
      </c>
      <c r="J342" s="25">
        <f t="shared" si="22"/>
        <v>7.498854453903498</v>
      </c>
      <c r="K342" s="25">
        <f>Dimensions!$D$37*J342</f>
        <v>1124.8281680855243</v>
      </c>
    </row>
    <row r="343" spans="1:11" ht="10.5">
      <c r="A343" s="34">
        <f t="shared" si="23"/>
        <v>334</v>
      </c>
      <c r="B343" s="16"/>
      <c r="C343" s="25">
        <f t="shared" si="20"/>
        <v>6.69336E-07</v>
      </c>
      <c r="D343" s="18"/>
      <c r="E343" s="25">
        <f>Dimensions!$D$33*A343*A343*A343*0.000000000000000001</f>
        <v>5.968431775323156E-08</v>
      </c>
      <c r="F343" s="25">
        <f t="shared" si="21"/>
        <v>11.214604190792805</v>
      </c>
      <c r="G343" s="25">
        <f>Dimensions!$D$36*F343</f>
        <v>1121.4604190792804</v>
      </c>
      <c r="H343" s="18"/>
      <c r="I343" s="25">
        <f>Dimensions!$D$34*A343*A343*A343*0.000000000000000001</f>
        <v>8.952647662984732E-08</v>
      </c>
      <c r="J343" s="25">
        <f t="shared" si="22"/>
        <v>7.476402793861872</v>
      </c>
      <c r="K343" s="25">
        <f>Dimensions!$D$37*J343</f>
        <v>1121.4604190792804</v>
      </c>
    </row>
    <row r="344" spans="1:11" ht="10.5">
      <c r="A344" s="34">
        <f t="shared" si="23"/>
        <v>335</v>
      </c>
      <c r="B344" s="16"/>
      <c r="C344" s="25">
        <f t="shared" si="20"/>
        <v>6.7335E-07</v>
      </c>
      <c r="D344" s="18"/>
      <c r="E344" s="25">
        <f>Dimensions!$D$33*A344*A344*A344*0.000000000000000001</f>
        <v>6.022201109144338E-08</v>
      </c>
      <c r="F344" s="25">
        <f t="shared" si="21"/>
        <v>11.18112776037253</v>
      </c>
      <c r="G344" s="25">
        <f>Dimensions!$D$36*F344</f>
        <v>1118.1127760372528</v>
      </c>
      <c r="H344" s="18"/>
      <c r="I344" s="25">
        <f>Dimensions!$D$34*A344*A344*A344*0.000000000000000001</f>
        <v>9.033301663716507E-08</v>
      </c>
      <c r="J344" s="25">
        <f t="shared" si="22"/>
        <v>7.454085173581686</v>
      </c>
      <c r="K344" s="25">
        <f>Dimensions!$D$37*J344</f>
        <v>1118.1127760372526</v>
      </c>
    </row>
    <row r="345" spans="1:11" ht="10.5">
      <c r="A345" s="34">
        <f t="shared" si="23"/>
        <v>336</v>
      </c>
      <c r="B345" s="16"/>
      <c r="C345" s="25">
        <f t="shared" si="20"/>
        <v>6.773759999999999E-07</v>
      </c>
      <c r="D345" s="18"/>
      <c r="E345" s="25">
        <f>Dimensions!$D$33*A345*A345*A345*0.000000000000000001</f>
        <v>6.076292414065141E-08</v>
      </c>
      <c r="F345" s="25">
        <f t="shared" si="21"/>
        <v>11.147850594419042</v>
      </c>
      <c r="G345" s="25">
        <f>Dimensions!$D$36*F345</f>
        <v>1114.7850594419042</v>
      </c>
      <c r="H345" s="18"/>
      <c r="I345" s="25">
        <f>Dimensions!$D$34*A345*A345*A345*0.000000000000000001</f>
        <v>9.114438621097714E-08</v>
      </c>
      <c r="J345" s="25">
        <f t="shared" si="22"/>
        <v>7.431900396279359</v>
      </c>
      <c r="K345" s="25">
        <f>Dimensions!$D$37*J345</f>
        <v>1114.7850594419037</v>
      </c>
    </row>
    <row r="346" spans="1:11" ht="10.5">
      <c r="A346" s="34">
        <f t="shared" si="23"/>
        <v>337</v>
      </c>
      <c r="B346" s="16"/>
      <c r="C346" s="25">
        <f t="shared" si="20"/>
        <v>6.81414E-07</v>
      </c>
      <c r="D346" s="18"/>
      <c r="E346" s="25">
        <f>Dimensions!$D$33*A346*A346*A346*0.000000000000000001</f>
        <v>6.130706651193328E-08</v>
      </c>
      <c r="F346" s="25">
        <f t="shared" si="21"/>
        <v>11.114770919064679</v>
      </c>
      <c r="G346" s="25">
        <f>Dimensions!$D$36*F346</f>
        <v>1111.4770919064679</v>
      </c>
      <c r="H346" s="18"/>
      <c r="I346" s="25">
        <f>Dimensions!$D$34*A346*A346*A346*0.000000000000000001</f>
        <v>9.19605997678999E-08</v>
      </c>
      <c r="J346" s="25">
        <f t="shared" si="22"/>
        <v>7.409847279376454</v>
      </c>
      <c r="K346" s="25">
        <f>Dimensions!$D$37*J346</f>
        <v>1111.4770919064679</v>
      </c>
    </row>
    <row r="347" spans="1:11" ht="10.5">
      <c r="A347" s="34">
        <f t="shared" si="23"/>
        <v>338</v>
      </c>
      <c r="B347" s="16"/>
      <c r="C347" s="25">
        <f t="shared" si="20"/>
        <v>6.85464E-07</v>
      </c>
      <c r="D347" s="18"/>
      <c r="E347" s="25">
        <f>Dimensions!$D$33*A347*A347*A347*0.000000000000000001</f>
        <v>6.185444781636652E-08</v>
      </c>
      <c r="F347" s="25">
        <f t="shared" si="21"/>
        <v>11.08188698143431</v>
      </c>
      <c r="G347" s="25">
        <f>Dimensions!$D$36*F347</f>
        <v>1108.188698143431</v>
      </c>
      <c r="H347" s="18"/>
      <c r="I347" s="25">
        <f>Dimensions!$D$34*A347*A347*A347*0.000000000000000001</f>
        <v>9.278167172454976E-08</v>
      </c>
      <c r="J347" s="25">
        <f t="shared" si="22"/>
        <v>7.387924654289542</v>
      </c>
      <c r="K347" s="25">
        <f>Dimensions!$D$37*J347</f>
        <v>1108.188698143431</v>
      </c>
    </row>
    <row r="348" spans="1:11" ht="10.5">
      <c r="A348" s="34">
        <f t="shared" si="23"/>
        <v>339</v>
      </c>
      <c r="B348" s="16"/>
      <c r="C348" s="25">
        <f t="shared" si="20"/>
        <v>6.89526E-07</v>
      </c>
      <c r="D348" s="18"/>
      <c r="E348" s="25">
        <f>Dimensions!$D$33*A348*A348*A348*0.000000000000000001</f>
        <v>6.240507766502876E-08</v>
      </c>
      <c r="F348" s="25">
        <f t="shared" si="21"/>
        <v>11.049197049335683</v>
      </c>
      <c r="G348" s="25">
        <f>Dimensions!$D$36*F348</f>
        <v>1104.9197049335683</v>
      </c>
      <c r="H348" s="18"/>
      <c r="I348" s="25">
        <f>Dimensions!$D$34*A348*A348*A348*0.000000000000000001</f>
        <v>9.360761649754313E-08</v>
      </c>
      <c r="J348" s="25">
        <f t="shared" si="22"/>
        <v>7.366131366223791</v>
      </c>
      <c r="K348" s="25">
        <f>Dimensions!$D$37*J348</f>
        <v>1104.9197049335685</v>
      </c>
    </row>
    <row r="349" spans="1:11" ht="10.5">
      <c r="A349" s="34">
        <f t="shared" si="23"/>
        <v>340</v>
      </c>
      <c r="B349" s="16"/>
      <c r="C349" s="25">
        <f t="shared" si="20"/>
        <v>6.936E-07</v>
      </c>
      <c r="D349" s="18"/>
      <c r="E349" s="25">
        <f>Dimensions!$D$33*A349*A349*A349*0.000000000000000001</f>
        <v>6.295896566899761E-08</v>
      </c>
      <c r="F349" s="25">
        <f t="shared" si="21"/>
        <v>11.016699410955285</v>
      </c>
      <c r="G349" s="25">
        <f>Dimensions!$D$36*F349</f>
        <v>1101.6699410955284</v>
      </c>
      <c r="H349" s="18"/>
      <c r="I349" s="25">
        <f>Dimensions!$D$34*A349*A349*A349*0.000000000000000001</f>
        <v>9.443844850349642E-08</v>
      </c>
      <c r="J349" s="25">
        <f t="shared" si="22"/>
        <v>7.34446627397019</v>
      </c>
      <c r="K349" s="25">
        <f>Dimensions!$D$37*J349</f>
        <v>1101.6699410955284</v>
      </c>
    </row>
    <row r="350" spans="1:11" ht="10.5">
      <c r="A350" s="34">
        <f t="shared" si="23"/>
        <v>341</v>
      </c>
      <c r="B350" s="16"/>
      <c r="C350" s="25">
        <f t="shared" si="20"/>
        <v>6.976859999999999E-07</v>
      </c>
      <c r="D350" s="18"/>
      <c r="E350" s="25">
        <f>Dimensions!$D$33*A350*A350*A350*0.000000000000000001</f>
        <v>6.351612143935066E-08</v>
      </c>
      <c r="F350" s="25">
        <f t="shared" si="21"/>
        <v>10.984392374559523</v>
      </c>
      <c r="G350" s="25">
        <f>Dimensions!$D$36*F350</f>
        <v>1098.4392374559523</v>
      </c>
      <c r="H350" s="18"/>
      <c r="I350" s="25">
        <f>Dimensions!$D$34*A350*A350*A350*0.000000000000000001</f>
        <v>9.527418215902597E-08</v>
      </c>
      <c r="J350" s="25">
        <f t="shared" si="22"/>
        <v>7.322928249706349</v>
      </c>
      <c r="K350" s="25">
        <f>Dimensions!$D$37*J350</f>
        <v>1098.4392374559523</v>
      </c>
    </row>
    <row r="351" spans="1:11" ht="10.5">
      <c r="A351" s="34">
        <f t="shared" si="23"/>
        <v>342</v>
      </c>
      <c r="B351" s="16"/>
      <c r="C351" s="25">
        <f t="shared" si="20"/>
        <v>7.01784E-07</v>
      </c>
      <c r="D351" s="18"/>
      <c r="E351" s="25">
        <f>Dimensions!$D$33*A351*A351*A351*0.000000000000000001</f>
        <v>6.407655458716551E-08</v>
      </c>
      <c r="F351" s="25">
        <f t="shared" si="21"/>
        <v>10.952274268201162</v>
      </c>
      <c r="G351" s="25">
        <f>Dimensions!$D$36*F351</f>
        <v>1095.227426820116</v>
      </c>
      <c r="H351" s="18"/>
      <c r="I351" s="25">
        <f>Dimensions!$D$34*A351*A351*A351*0.000000000000000001</f>
        <v>9.611483188074827E-08</v>
      </c>
      <c r="J351" s="25">
        <f t="shared" si="22"/>
        <v>7.3015161788007745</v>
      </c>
      <c r="K351" s="25">
        <f>Dimensions!$D$37*J351</f>
        <v>1095.227426820116</v>
      </c>
    </row>
    <row r="352" spans="1:11" ht="10.5">
      <c r="A352" s="34">
        <f t="shared" si="23"/>
        <v>343</v>
      </c>
      <c r="B352" s="16"/>
      <c r="C352" s="25">
        <f t="shared" si="20"/>
        <v>7.05894E-07</v>
      </c>
      <c r="D352" s="18"/>
      <c r="E352" s="25">
        <f>Dimensions!$D$33*A352*A352*A352*0.000000000000000001</f>
        <v>6.46402747235198E-08</v>
      </c>
      <c r="F352" s="25">
        <f t="shared" si="21"/>
        <v>10.920343439430894</v>
      </c>
      <c r="G352" s="25">
        <f>Dimensions!$D$36*F352</f>
        <v>1092.0343439430894</v>
      </c>
      <c r="H352" s="18"/>
      <c r="I352" s="25">
        <f>Dimensions!$D$34*A352*A352*A352*0.000000000000000001</f>
        <v>9.696041208527968E-08</v>
      </c>
      <c r="J352" s="25">
        <f t="shared" si="22"/>
        <v>7.280228959620597</v>
      </c>
      <c r="K352" s="25">
        <f>Dimensions!$D$37*J352</f>
        <v>1092.0343439430894</v>
      </c>
    </row>
    <row r="353" spans="1:11" ht="10.5">
      <c r="A353" s="34">
        <f t="shared" si="23"/>
        <v>344</v>
      </c>
      <c r="B353" s="16"/>
      <c r="C353" s="25">
        <f t="shared" si="20"/>
        <v>7.10016E-07</v>
      </c>
      <c r="D353" s="18"/>
      <c r="E353" s="25">
        <f>Dimensions!$D$33*A353*A353*A353*0.000000000000000001</f>
        <v>6.520729145949105E-08</v>
      </c>
      <c r="F353" s="25">
        <f t="shared" si="21"/>
        <v>10.888598255013944</v>
      </c>
      <c r="G353" s="25">
        <f>Dimensions!$D$36*F353</f>
        <v>1088.8598255013944</v>
      </c>
      <c r="H353" s="18"/>
      <c r="I353" s="25">
        <f>Dimensions!$D$34*A353*A353*A353*0.000000000000000001</f>
        <v>9.781093718923658E-08</v>
      </c>
      <c r="J353" s="25">
        <f t="shared" si="22"/>
        <v>7.2590655033426295</v>
      </c>
      <c r="K353" s="25">
        <f>Dimensions!$D$37*J353</f>
        <v>1088.8598255013942</v>
      </c>
    </row>
    <row r="354" spans="1:11" ht="10.5">
      <c r="A354" s="34">
        <f t="shared" si="23"/>
        <v>345</v>
      </c>
      <c r="B354" s="16"/>
      <c r="C354" s="25">
        <f t="shared" si="20"/>
        <v>7.1415E-07</v>
      </c>
      <c r="D354" s="18"/>
      <c r="E354" s="25">
        <f>Dimensions!$D$33*A354*A354*A354*0.000000000000000001</f>
        <v>6.577761440615693E-08</v>
      </c>
      <c r="F354" s="25">
        <f t="shared" si="21"/>
        <v>10.857037100651585</v>
      </c>
      <c r="G354" s="25">
        <f>Dimensions!$D$36*F354</f>
        <v>1085.7037100651585</v>
      </c>
      <c r="H354" s="18"/>
      <c r="I354" s="25">
        <f>Dimensions!$D$34*A354*A354*A354*0.000000000000000001</f>
        <v>9.866642160923539E-08</v>
      </c>
      <c r="J354" s="25">
        <f t="shared" si="22"/>
        <v>7.238024733767723</v>
      </c>
      <c r="K354" s="25">
        <f>Dimensions!$D$37*J354</f>
        <v>1085.7037100651582</v>
      </c>
    </row>
    <row r="355" spans="1:11" ht="10.5">
      <c r="A355" s="34">
        <f t="shared" si="23"/>
        <v>346</v>
      </c>
      <c r="B355" s="16"/>
      <c r="C355" s="25">
        <f t="shared" si="20"/>
        <v>7.18296E-07</v>
      </c>
      <c r="D355" s="18"/>
      <c r="E355" s="25">
        <f>Dimensions!$D$33*A355*A355*A355*0.000000000000000001</f>
        <v>6.635125317459501E-08</v>
      </c>
      <c r="F355" s="25">
        <f t="shared" si="21"/>
        <v>10.825658380707505</v>
      </c>
      <c r="G355" s="25">
        <f>Dimensions!$D$36*F355</f>
        <v>1082.5658380707505</v>
      </c>
      <c r="H355" s="18"/>
      <c r="I355" s="25">
        <f>Dimensions!$D$34*A355*A355*A355*0.000000000000000001</f>
        <v>9.95268797618925E-08</v>
      </c>
      <c r="J355" s="25">
        <f t="shared" si="22"/>
        <v>7.217105587138338</v>
      </c>
      <c r="K355" s="25">
        <f>Dimensions!$D$37*J355</f>
        <v>1082.5658380707505</v>
      </c>
    </row>
    <row r="356" spans="1:11" ht="10.5">
      <c r="A356" s="34">
        <f t="shared" si="23"/>
        <v>347</v>
      </c>
      <c r="B356" s="16"/>
      <c r="C356" s="25">
        <f t="shared" si="20"/>
        <v>7.22454E-07</v>
      </c>
      <c r="D356" s="18"/>
      <c r="E356" s="25">
        <f>Dimensions!$D$33*A356*A356*A356*0.000000000000000001</f>
        <v>6.69282173758829E-08</v>
      </c>
      <c r="F356" s="25">
        <f t="shared" si="21"/>
        <v>10.794460517938896</v>
      </c>
      <c r="G356" s="25">
        <f>Dimensions!$D$36*F356</f>
        <v>1079.4460517938896</v>
      </c>
      <c r="H356" s="18"/>
      <c r="I356" s="25">
        <f>Dimensions!$D$34*A356*A356*A356*0.000000000000000001</f>
        <v>1.0039232606382434E-07</v>
      </c>
      <c r="J356" s="25">
        <f t="shared" si="22"/>
        <v>7.196307011959265</v>
      </c>
      <c r="K356" s="25">
        <f>Dimensions!$D$37*J356</f>
        <v>1079.4460517938894</v>
      </c>
    </row>
    <row r="357" spans="1:11" ht="10.5">
      <c r="A357" s="34">
        <f t="shared" si="23"/>
        <v>348</v>
      </c>
      <c r="B357" s="16"/>
      <c r="C357" s="25">
        <f t="shared" si="20"/>
        <v>7.26624E-07</v>
      </c>
      <c r="D357" s="18"/>
      <c r="E357" s="25">
        <f>Dimensions!$D$33*A357*A357*A357*0.000000000000000001</f>
        <v>6.75085166210982E-08</v>
      </c>
      <c r="F357" s="25">
        <f t="shared" si="21"/>
        <v>10.763441953232174</v>
      </c>
      <c r="G357" s="25">
        <f>Dimensions!$D$36*F357</f>
        <v>1076.3441953232175</v>
      </c>
      <c r="H357" s="18"/>
      <c r="I357" s="25">
        <f>Dimensions!$D$34*A357*A357*A357*0.000000000000000001</f>
        <v>1.012627749316473E-07</v>
      </c>
      <c r="J357" s="25">
        <f t="shared" si="22"/>
        <v>7.17562796882145</v>
      </c>
      <c r="K357" s="25">
        <f>Dimensions!$D$37*J357</f>
        <v>1076.3441953232173</v>
      </c>
    </row>
    <row r="358" spans="1:11" ht="10.5">
      <c r="A358" s="34">
        <f t="shared" si="23"/>
        <v>349</v>
      </c>
      <c r="B358" s="16"/>
      <c r="C358" s="25">
        <f t="shared" si="20"/>
        <v>7.30806E-07</v>
      </c>
      <c r="D358" s="18"/>
      <c r="E358" s="25">
        <f>Dimensions!$D$33*A358*A358*A358*0.000000000000000001</f>
        <v>6.809216052131851E-08</v>
      </c>
      <c r="F358" s="25">
        <f t="shared" si="21"/>
        <v>10.732601145343258</v>
      </c>
      <c r="G358" s="25">
        <f>Dimensions!$D$36*F358</f>
        <v>1073.2601145343258</v>
      </c>
      <c r="H358" s="18"/>
      <c r="I358" s="25">
        <f>Dimensions!$D$34*A358*A358*A358*0.000000000000000001</f>
        <v>1.0213824078197775E-07</v>
      </c>
      <c r="J358" s="25">
        <f t="shared" si="22"/>
        <v>7.155067430228839</v>
      </c>
      <c r="K358" s="25">
        <f>Dimensions!$D$37*J358</f>
        <v>1073.2601145343256</v>
      </c>
    </row>
    <row r="359" spans="1:11" ht="10.5">
      <c r="A359" s="34">
        <f t="shared" si="23"/>
        <v>350</v>
      </c>
      <c r="B359" s="16"/>
      <c r="C359" s="25">
        <f t="shared" si="20"/>
        <v>7.35E-07</v>
      </c>
      <c r="D359" s="18"/>
      <c r="E359" s="25">
        <f>Dimensions!$D$33*A359*A359*A359*0.000000000000000001</f>
        <v>6.867915868762143E-08</v>
      </c>
      <c r="F359" s="25">
        <f t="shared" si="21"/>
        <v>10.701936570642275</v>
      </c>
      <c r="G359" s="25">
        <f>Dimensions!$D$36*F359</f>
        <v>1070.1936570642274</v>
      </c>
      <c r="H359" s="18"/>
      <c r="I359" s="25">
        <f>Dimensions!$D$34*A359*A359*A359*0.000000000000000001</f>
        <v>1.0301873803143212E-07</v>
      </c>
      <c r="J359" s="25">
        <f t="shared" si="22"/>
        <v>7.1346243804281855</v>
      </c>
      <c r="K359" s="25">
        <f>Dimensions!$D$37*J359</f>
        <v>1070.1936570642276</v>
      </c>
    </row>
    <row r="360" spans="1:11" ht="10.5">
      <c r="A360" s="34">
        <f t="shared" si="23"/>
        <v>351</v>
      </c>
      <c r="B360" s="16"/>
      <c r="C360" s="25">
        <f t="shared" si="20"/>
        <v>7.39206E-07</v>
      </c>
      <c r="D360" s="18"/>
      <c r="E360" s="25">
        <f>Dimensions!$D$33*A360*A360*A360*0.000000000000000001</f>
        <v>6.926952073108456E-08</v>
      </c>
      <c r="F360" s="25">
        <f t="shared" si="21"/>
        <v>10.671446722862669</v>
      </c>
      <c r="G360" s="25">
        <f>Dimensions!$D$36*F360</f>
        <v>1067.144672286267</v>
      </c>
      <c r="H360" s="18"/>
      <c r="I360" s="25">
        <f>Dimensions!$D$34*A360*A360*A360*0.000000000000000001</f>
        <v>1.0390428109662682E-07</v>
      </c>
      <c r="J360" s="25">
        <f t="shared" si="22"/>
        <v>7.11429781524178</v>
      </c>
      <c r="K360" s="25">
        <f>Dimensions!$D$37*J360</f>
        <v>1067.1446722862668</v>
      </c>
    </row>
    <row r="361" spans="1:11" ht="10.5">
      <c r="A361" s="34">
        <f t="shared" si="23"/>
        <v>352</v>
      </c>
      <c r="B361" s="16"/>
      <c r="C361" s="25">
        <f t="shared" si="20"/>
        <v>7.43424E-07</v>
      </c>
      <c r="D361" s="18"/>
      <c r="E361" s="25">
        <f>Dimensions!$D$33*A361*A361*A361*0.000000000000000001</f>
        <v>6.986325626278548E-08</v>
      </c>
      <c r="F361" s="25">
        <f t="shared" si="21"/>
        <v>10.641130112854537</v>
      </c>
      <c r="G361" s="25">
        <f>Dimensions!$D$36*F361</f>
        <v>1064.1130112854537</v>
      </c>
      <c r="H361" s="18"/>
      <c r="I361" s="25">
        <f>Dimensions!$D$34*A361*A361*A361*0.000000000000000001</f>
        <v>1.0479488439417823E-07</v>
      </c>
      <c r="J361" s="25">
        <f t="shared" si="22"/>
        <v>7.094086741903025</v>
      </c>
      <c r="K361" s="25">
        <f>Dimensions!$D$37*J361</f>
        <v>1064.1130112854535</v>
      </c>
    </row>
    <row r="362" spans="1:11" ht="10.5">
      <c r="A362" s="34">
        <f t="shared" si="23"/>
        <v>353</v>
      </c>
      <c r="B362" s="16"/>
      <c r="C362" s="25">
        <f t="shared" si="20"/>
        <v>7.47654E-07</v>
      </c>
      <c r="D362" s="18"/>
      <c r="E362" s="25">
        <f>Dimensions!$D$33*A362*A362*A362*0.000000000000000001</f>
        <v>7.046037489380184E-08</v>
      </c>
      <c r="F362" s="25">
        <f t="shared" si="21"/>
        <v>10.610985268342201</v>
      </c>
      <c r="G362" s="25">
        <f>Dimensions!$D$36*F362</f>
        <v>1061.0985268342201</v>
      </c>
      <c r="H362" s="18"/>
      <c r="I362" s="25">
        <f>Dimensions!$D$34*A362*A362*A362*0.000000000000000001</f>
        <v>1.0569056234070275E-07</v>
      </c>
      <c r="J362" s="25">
        <f t="shared" si="22"/>
        <v>7.0739901788948005</v>
      </c>
      <c r="K362" s="25">
        <f>Dimensions!$D$37*J362</f>
        <v>1061.09852683422</v>
      </c>
    </row>
    <row r="363" spans="1:11" ht="10.5">
      <c r="A363" s="34">
        <f t="shared" si="23"/>
        <v>354</v>
      </c>
      <c r="B363" s="16"/>
      <c r="C363" s="25">
        <f t="shared" si="20"/>
        <v>7.518959999999999E-07</v>
      </c>
      <c r="D363" s="18"/>
      <c r="E363" s="25">
        <f>Dimensions!$D$33*A363*A363*A363*0.000000000000000001</f>
        <v>7.10608862352112E-08</v>
      </c>
      <c r="F363" s="25">
        <f t="shared" si="21"/>
        <v>10.581010733685867</v>
      </c>
      <c r="G363" s="25">
        <f>Dimensions!$D$36*F363</f>
        <v>1058.1010733685866</v>
      </c>
      <c r="H363" s="18"/>
      <c r="I363" s="25">
        <f>Dimensions!$D$34*A363*A363*A363*0.000000000000000001</f>
        <v>1.065913293528168E-07</v>
      </c>
      <c r="J363" s="25">
        <f t="shared" si="22"/>
        <v>7.054007155790578</v>
      </c>
      <c r="K363" s="25">
        <f>Dimensions!$D$37*J363</f>
        <v>1058.1010733685864</v>
      </c>
    </row>
    <row r="364" spans="1:11" ht="10.5">
      <c r="A364" s="34">
        <f t="shared" si="23"/>
        <v>355</v>
      </c>
      <c r="B364" s="16"/>
      <c r="C364" s="25">
        <f t="shared" si="20"/>
        <v>7.5615E-07</v>
      </c>
      <c r="D364" s="18"/>
      <c r="E364" s="25">
        <f>Dimensions!$D$33*A364*A364*A364*0.000000000000000001</f>
        <v>7.166479989809119E-08</v>
      </c>
      <c r="F364" s="25">
        <f t="shared" si="21"/>
        <v>10.551205069647311</v>
      </c>
      <c r="G364" s="25">
        <f>Dimensions!$D$36*F364</f>
        <v>1055.1205069647312</v>
      </c>
      <c r="H364" s="18"/>
      <c r="I364" s="25">
        <f>Dimensions!$D$34*A364*A364*A364*0.000000000000000001</f>
        <v>1.0749719984713674E-07</v>
      </c>
      <c r="J364" s="25">
        <f t="shared" si="22"/>
        <v>7.034136713098211</v>
      </c>
      <c r="K364" s="25">
        <f>Dimensions!$D$37*J364</f>
        <v>1055.1205069647315</v>
      </c>
    </row>
    <row r="365" spans="1:11" ht="10.5">
      <c r="A365" s="34">
        <f t="shared" si="23"/>
        <v>356</v>
      </c>
      <c r="B365" s="16"/>
      <c r="C365" s="25">
        <f t="shared" si="20"/>
        <v>7.60416E-07</v>
      </c>
      <c r="D365" s="18"/>
      <c r="E365" s="25">
        <f>Dimensions!$D$33*A365*A365*A365*0.000000000000000001</f>
        <v>7.227212549351936E-08</v>
      </c>
      <c r="F365" s="25">
        <f t="shared" si="21"/>
        <v>10.521566853159541</v>
      </c>
      <c r="G365" s="25">
        <f>Dimensions!$D$36*F365</f>
        <v>1052.156685315954</v>
      </c>
      <c r="H365" s="18"/>
      <c r="I365" s="25">
        <f>Dimensions!$D$34*A365*A365*A365*0.000000000000000001</f>
        <v>1.0840818824027903E-07</v>
      </c>
      <c r="J365" s="25">
        <f t="shared" si="22"/>
        <v>7.014377902106362</v>
      </c>
      <c r="K365" s="25">
        <f>Dimensions!$D$37*J365</f>
        <v>1052.156685315954</v>
      </c>
    </row>
    <row r="366" spans="1:11" ht="10.5">
      <c r="A366" s="34">
        <f t="shared" si="23"/>
        <v>357</v>
      </c>
      <c r="B366" s="16"/>
      <c r="C366" s="25">
        <f t="shared" si="20"/>
        <v>7.64694E-07</v>
      </c>
      <c r="D366" s="18"/>
      <c r="E366" s="25">
        <f>Dimensions!$D$33*A366*A366*A366*0.000000000000000001</f>
        <v>7.288287263257335E-08</v>
      </c>
      <c r="F366" s="25">
        <f t="shared" si="21"/>
        <v>10.492094677100273</v>
      </c>
      <c r="G366" s="25">
        <f>Dimensions!$D$36*F366</f>
        <v>1049.2094677100272</v>
      </c>
      <c r="H366" s="18"/>
      <c r="I366" s="25">
        <f>Dimensions!$D$34*A366*A366*A366*0.000000000000000001</f>
        <v>1.0932430894886002E-07</v>
      </c>
      <c r="J366" s="25">
        <f t="shared" si="22"/>
        <v>6.994729784733516</v>
      </c>
      <c r="K366" s="25">
        <f>Dimensions!$D$37*J366</f>
        <v>1049.2094677100272</v>
      </c>
    </row>
    <row r="367" spans="1:11" ht="10.5">
      <c r="A367" s="34">
        <f t="shared" si="23"/>
        <v>358</v>
      </c>
      <c r="B367" s="16"/>
      <c r="C367" s="25">
        <f t="shared" si="20"/>
        <v>7.689839999999999E-07</v>
      </c>
      <c r="D367" s="18"/>
      <c r="E367" s="25">
        <f>Dimensions!$D$33*A367*A367*A367*0.000000000000000001</f>
        <v>7.349705092633076E-08</v>
      </c>
      <c r="F367" s="25">
        <f t="shared" si="21"/>
        <v>10.462787150069266</v>
      </c>
      <c r="G367" s="25">
        <f>Dimensions!$D$36*F367</f>
        <v>1046.2787150069266</v>
      </c>
      <c r="H367" s="18"/>
      <c r="I367" s="25">
        <f>Dimensions!$D$34*A367*A367*A367*0.000000000000000001</f>
        <v>1.1024557638949613E-07</v>
      </c>
      <c r="J367" s="25">
        <f t="shared" si="22"/>
        <v>6.9751914333795115</v>
      </c>
      <c r="K367" s="25">
        <f>Dimensions!$D$37*J367</f>
        <v>1046.2787150069266</v>
      </c>
    </row>
    <row r="368" spans="1:11" ht="10.5">
      <c r="A368" s="34">
        <f t="shared" si="23"/>
        <v>359</v>
      </c>
      <c r="B368" s="16"/>
      <c r="C368" s="25">
        <f t="shared" si="20"/>
        <v>7.73286E-07</v>
      </c>
      <c r="D368" s="18"/>
      <c r="E368" s="25">
        <f>Dimensions!$D$33*A368*A368*A368*0.000000000000000001</f>
        <v>7.411466998586921E-08</v>
      </c>
      <c r="F368" s="25">
        <f t="shared" si="21"/>
        <v>10.433642896169351</v>
      </c>
      <c r="G368" s="25">
        <f>Dimensions!$D$36*F368</f>
        <v>1043.3642896169351</v>
      </c>
      <c r="H368" s="18"/>
      <c r="I368" s="25">
        <f>Dimensions!$D$34*A368*A368*A368*0.000000000000000001</f>
        <v>1.1117200497880378E-07</v>
      </c>
      <c r="J368" s="25">
        <f t="shared" si="22"/>
        <v>6.955761930779569</v>
      </c>
      <c r="K368" s="25">
        <f>Dimensions!$D$37*J368</f>
        <v>1043.3642896169351</v>
      </c>
    </row>
    <row r="369" spans="1:11" ht="10.5">
      <c r="A369" s="34">
        <f t="shared" si="23"/>
        <v>360</v>
      </c>
      <c r="B369" s="16"/>
      <c r="C369" s="25">
        <f t="shared" si="20"/>
        <v>7.776E-07</v>
      </c>
      <c r="D369" s="18"/>
      <c r="E369" s="25">
        <f>Dimensions!$D$33*A369*A369*A369*0.000000000000000001</f>
        <v>7.473573942226623E-08</v>
      </c>
      <c r="F369" s="25">
        <f t="shared" si="21"/>
        <v>10.404660554791104</v>
      </c>
      <c r="G369" s="25">
        <f>Dimensions!$D$36*F369</f>
        <v>1040.4660554791103</v>
      </c>
      <c r="H369" s="18"/>
      <c r="I369" s="25">
        <f>Dimensions!$D$34*A369*A369*A369*0.000000000000000001</f>
        <v>1.1210360913339936E-07</v>
      </c>
      <c r="J369" s="25">
        <f t="shared" si="22"/>
        <v>6.936440369860736</v>
      </c>
      <c r="K369" s="25">
        <f>Dimensions!$D$37*J369</f>
        <v>1040.4660554791103</v>
      </c>
    </row>
    <row r="370" spans="1:11" ht="10.5">
      <c r="A370" s="34">
        <f t="shared" si="23"/>
        <v>361</v>
      </c>
      <c r="B370" s="16"/>
      <c r="C370" s="25">
        <f t="shared" si="20"/>
        <v>7.81926E-07</v>
      </c>
      <c r="D370" s="18"/>
      <c r="E370" s="25">
        <f>Dimensions!$D$33*A370*A370*A370*0.000000000000000001</f>
        <v>7.536026884659952E-08</v>
      </c>
      <c r="F370" s="25">
        <f t="shared" si="21"/>
        <v>10.375838780401097</v>
      </c>
      <c r="G370" s="25">
        <f>Dimensions!$D$36*F370</f>
        <v>1037.5838780401095</v>
      </c>
      <c r="H370" s="18"/>
      <c r="I370" s="25">
        <f>Dimensions!$D$34*A370*A370*A370*0.000000000000000001</f>
        <v>1.1304040326989926E-07</v>
      </c>
      <c r="J370" s="25">
        <f t="shared" si="22"/>
        <v>6.9172258536007325</v>
      </c>
      <c r="K370" s="25">
        <f>Dimensions!$D$37*J370</f>
        <v>1037.5838780401098</v>
      </c>
    </row>
    <row r="371" spans="1:11" ht="10.5">
      <c r="A371" s="34">
        <f t="shared" si="23"/>
        <v>362</v>
      </c>
      <c r="B371" s="16"/>
      <c r="C371" s="25">
        <f t="shared" si="20"/>
        <v>7.86264E-07</v>
      </c>
      <c r="D371" s="18"/>
      <c r="E371" s="25">
        <f>Dimensions!$D$33*A371*A371*A371*0.000000000000000001</f>
        <v>7.598826786994659E-08</v>
      </c>
      <c r="F371" s="25">
        <f t="shared" si="21"/>
        <v>10.347176242333692</v>
      </c>
      <c r="G371" s="25">
        <f>Dimensions!$D$36*F371</f>
        <v>1034.7176242333692</v>
      </c>
      <c r="H371" s="18"/>
      <c r="I371" s="25">
        <f>Dimensions!$D$34*A371*A371*A371*0.000000000000000001</f>
        <v>1.1398240180491987E-07</v>
      </c>
      <c r="J371" s="25">
        <f t="shared" si="22"/>
        <v>6.898117494889129</v>
      </c>
      <c r="K371" s="25">
        <f>Dimensions!$D$37*J371</f>
        <v>1034.7176242333692</v>
      </c>
    </row>
    <row r="372" spans="1:11" ht="10.5">
      <c r="A372" s="34">
        <f t="shared" si="23"/>
        <v>363</v>
      </c>
      <c r="B372" s="16"/>
      <c r="C372" s="25">
        <f t="shared" si="20"/>
        <v>7.90614E-07</v>
      </c>
      <c r="D372" s="18"/>
      <c r="E372" s="25">
        <f>Dimensions!$D$33*A372*A372*A372*0.000000000000000001</f>
        <v>7.661974610338508E-08</v>
      </c>
      <c r="F372" s="25">
        <f t="shared" si="21"/>
        <v>10.318671624586216</v>
      </c>
      <c r="G372" s="25">
        <f>Dimensions!$D$36*F372</f>
        <v>1031.8671624586216</v>
      </c>
      <c r="H372" s="18"/>
      <c r="I372" s="25">
        <f>Dimensions!$D$34*A372*A372*A372*0.000000000000000001</f>
        <v>1.149296191550776E-07</v>
      </c>
      <c r="J372" s="25">
        <f t="shared" si="22"/>
        <v>6.879114416390812</v>
      </c>
      <c r="K372" s="25">
        <f>Dimensions!$D$37*J372</f>
        <v>1031.8671624586216</v>
      </c>
    </row>
    <row r="373" spans="1:11" ht="10.5">
      <c r="A373" s="34">
        <f t="shared" si="23"/>
        <v>364</v>
      </c>
      <c r="B373" s="16"/>
      <c r="C373" s="25">
        <f t="shared" si="20"/>
        <v>7.94976E-07</v>
      </c>
      <c r="D373" s="18"/>
      <c r="E373" s="25">
        <f>Dimensions!$D$33*A373*A373*A373*0.000000000000000001</f>
        <v>7.725471315799259E-08</v>
      </c>
      <c r="F373" s="25">
        <f t="shared" si="21"/>
        <v>10.290323625617575</v>
      </c>
      <c r="G373" s="25">
        <f>Dimensions!$D$36*F373</f>
        <v>1029.0323625617575</v>
      </c>
      <c r="H373" s="18"/>
      <c r="I373" s="25">
        <f>Dimensions!$D$34*A373*A373*A373*0.000000000000000001</f>
        <v>1.1588206973698887E-07</v>
      </c>
      <c r="J373" s="25">
        <f t="shared" si="22"/>
        <v>6.860215750411717</v>
      </c>
      <c r="K373" s="25">
        <f>Dimensions!$D$37*J373</f>
        <v>1029.0323625617573</v>
      </c>
    </row>
    <row r="374" spans="1:11" ht="10.5">
      <c r="A374" s="34">
        <f t="shared" si="23"/>
        <v>365</v>
      </c>
      <c r="B374" s="16"/>
      <c r="C374" s="25">
        <f t="shared" si="20"/>
        <v>7.9935E-07</v>
      </c>
      <c r="D374" s="18"/>
      <c r="E374" s="25">
        <f>Dimensions!$D$33*A374*A374*A374*0.000000000000000001</f>
        <v>7.789317864484672E-08</v>
      </c>
      <c r="F374" s="25">
        <f t="shared" si="21"/>
        <v>10.262130958150129</v>
      </c>
      <c r="G374" s="25">
        <f>Dimensions!$D$36*F374</f>
        <v>1026.2130958150128</v>
      </c>
      <c r="H374" s="18"/>
      <c r="I374" s="25">
        <f>Dimensions!$D$34*A374*A374*A374*0.000000000000000001</f>
        <v>1.1683976796727006E-07</v>
      </c>
      <c r="J374" s="25">
        <f t="shared" si="22"/>
        <v>6.8414206387667535</v>
      </c>
      <c r="K374" s="25">
        <f>Dimensions!$D$37*J374</f>
        <v>1026.2130958150128</v>
      </c>
    </row>
    <row r="375" spans="1:11" ht="10.5">
      <c r="A375" s="34">
        <f t="shared" si="23"/>
        <v>366</v>
      </c>
      <c r="B375" s="16"/>
      <c r="C375" s="25">
        <f t="shared" si="20"/>
        <v>8.03736E-07</v>
      </c>
      <c r="D375" s="18"/>
      <c r="E375" s="25">
        <f>Dimensions!$D$33*A375*A375*A375*0.000000000000000001</f>
        <v>7.853515217502506E-08</v>
      </c>
      <c r="F375" s="25">
        <f t="shared" si="21"/>
        <v>10.234092348974857</v>
      </c>
      <c r="G375" s="25">
        <f>Dimensions!$D$36*F375</f>
        <v>1023.4092348974857</v>
      </c>
      <c r="H375" s="18"/>
      <c r="I375" s="25">
        <f>Dimensions!$D$34*A375*A375*A375*0.000000000000000001</f>
        <v>1.1780272826253759E-07</v>
      </c>
      <c r="J375" s="25">
        <f t="shared" si="22"/>
        <v>6.8227282326499035</v>
      </c>
      <c r="K375" s="25">
        <f>Dimensions!$D$37*J375</f>
        <v>1023.4092348974854</v>
      </c>
    </row>
    <row r="376" spans="1:11" ht="10.5">
      <c r="A376" s="34">
        <f t="shared" si="23"/>
        <v>367</v>
      </c>
      <c r="B376" s="16"/>
      <c r="C376" s="25">
        <f t="shared" si="20"/>
        <v>8.08134E-07</v>
      </c>
      <c r="D376" s="18"/>
      <c r="E376" s="25">
        <f>Dimensions!$D$33*A376*A376*A376*0.000000000000000001</f>
        <v>7.918064335960525E-08</v>
      </c>
      <c r="F376" s="25">
        <f t="shared" si="21"/>
        <v>10.206206538759664</v>
      </c>
      <c r="G376" s="25">
        <f>Dimensions!$D$36*F376</f>
        <v>1020.6206538759665</v>
      </c>
      <c r="H376" s="18"/>
      <c r="I376" s="25">
        <f>Dimensions!$D$34*A376*A376*A376*0.000000000000000001</f>
        <v>1.1877096503940784E-07</v>
      </c>
      <c r="J376" s="25">
        <f t="shared" si="22"/>
        <v>6.804137692506444</v>
      </c>
      <c r="K376" s="25">
        <f>Dimensions!$D$37*J376</f>
        <v>1020.6206538759665</v>
      </c>
    </row>
    <row r="377" spans="1:11" ht="10.5">
      <c r="A377" s="34">
        <f t="shared" si="23"/>
        <v>368</v>
      </c>
      <c r="B377" s="16"/>
      <c r="C377" s="25">
        <f t="shared" si="20"/>
        <v>8.12544E-07</v>
      </c>
      <c r="D377" s="18"/>
      <c r="E377" s="25">
        <f>Dimensions!$D$33*A377*A377*A377*0.000000000000000001</f>
        <v>7.982966180966483E-08</v>
      </c>
      <c r="F377" s="25">
        <f t="shared" si="21"/>
        <v>10.178472281860861</v>
      </c>
      <c r="G377" s="25">
        <f>Dimensions!$D$36*F377</f>
        <v>1017.8472281860861</v>
      </c>
      <c r="H377" s="18"/>
      <c r="I377" s="25">
        <f>Dimensions!$D$34*A377*A377*A377*0.000000000000000001</f>
        <v>1.1974449271449723E-07</v>
      </c>
      <c r="J377" s="25">
        <f t="shared" si="22"/>
        <v>6.785648187907242</v>
      </c>
      <c r="K377" s="25">
        <f>Dimensions!$D$37*J377</f>
        <v>1017.8472281860861</v>
      </c>
    </row>
    <row r="378" spans="1:11" ht="10.5">
      <c r="A378" s="34">
        <f t="shared" si="23"/>
        <v>369</v>
      </c>
      <c r="B378" s="16"/>
      <c r="C378" s="25">
        <f t="shared" si="20"/>
        <v>8.16966E-07</v>
      </c>
      <c r="D378" s="18"/>
      <c r="E378" s="25">
        <f>Dimensions!$D$33*A378*A378*A378*0.000000000000000001</f>
        <v>8.048221713628143E-08</v>
      </c>
      <c r="F378" s="25">
        <f t="shared" si="21"/>
        <v>10.150888346137661</v>
      </c>
      <c r="G378" s="25">
        <f>Dimensions!$D$36*F378</f>
        <v>1015.088834613766</v>
      </c>
      <c r="H378" s="18"/>
      <c r="I378" s="25">
        <f>Dimensions!$D$34*A378*A378*A378*0.000000000000000001</f>
        <v>1.2072332570442214E-07</v>
      </c>
      <c r="J378" s="25">
        <f t="shared" si="22"/>
        <v>6.767258897425108</v>
      </c>
      <c r="K378" s="25">
        <f>Dimensions!$D$37*J378</f>
        <v>1015.088834613766</v>
      </c>
    </row>
    <row r="379" spans="1:11" ht="10.5">
      <c r="A379" s="34">
        <f t="shared" si="23"/>
        <v>370</v>
      </c>
      <c r="B379" s="16"/>
      <c r="C379" s="25">
        <f t="shared" si="20"/>
        <v>8.214E-07</v>
      </c>
      <c r="D379" s="18"/>
      <c r="E379" s="25">
        <f>Dimensions!$D$33*A379*A379*A379*0.000000000000000001</f>
        <v>8.113831895053265E-08</v>
      </c>
      <c r="F379" s="25">
        <f t="shared" si="21"/>
        <v>10.123453512769723</v>
      </c>
      <c r="G379" s="25">
        <f>Dimensions!$D$36*F379</f>
        <v>1012.3453512769723</v>
      </c>
      <c r="H379" s="18"/>
      <c r="I379" s="25">
        <f>Dimensions!$D$34*A379*A379*A379*0.000000000000000001</f>
        <v>1.21707478425799E-07</v>
      </c>
      <c r="J379" s="25">
        <f t="shared" si="22"/>
        <v>6.748969008513148</v>
      </c>
      <c r="K379" s="25">
        <f>Dimensions!$D$37*J379</f>
        <v>1012.345351276972</v>
      </c>
    </row>
    <row r="380" spans="1:11" ht="10.5">
      <c r="A380" s="34">
        <f t="shared" si="23"/>
        <v>371</v>
      </c>
      <c r="B380" s="16"/>
      <c r="C380" s="25">
        <f t="shared" si="20"/>
        <v>8.25846E-07</v>
      </c>
      <c r="D380" s="18"/>
      <c r="E380" s="25">
        <f>Dimensions!$D$33*A380*A380*A380*0.000000000000000001</f>
        <v>8.179797686349611E-08</v>
      </c>
      <c r="F380" s="25">
        <f t="shared" si="21"/>
        <v>10.096166576077621</v>
      </c>
      <c r="G380" s="25">
        <f>Dimensions!$D$36*F380</f>
        <v>1009.6166576077621</v>
      </c>
      <c r="H380" s="18"/>
      <c r="I380" s="25">
        <f>Dimensions!$D$34*A380*A380*A380*0.000000000000000001</f>
        <v>1.2269696529524417E-07</v>
      </c>
      <c r="J380" s="25">
        <f t="shared" si="22"/>
        <v>6.730777717385081</v>
      </c>
      <c r="K380" s="25">
        <f>Dimensions!$D$37*J380</f>
        <v>1009.6166576077619</v>
      </c>
    </row>
    <row r="381" spans="1:11" ht="10.5">
      <c r="A381" s="34">
        <f t="shared" si="23"/>
        <v>372</v>
      </c>
      <c r="B381" s="16"/>
      <c r="C381" s="25">
        <f t="shared" si="20"/>
        <v>8.30304E-07</v>
      </c>
      <c r="D381" s="18"/>
      <c r="E381" s="25">
        <f>Dimensions!$D$33*A381*A381*A381*0.000000000000000001</f>
        <v>8.246120048624939E-08</v>
      </c>
      <c r="F381" s="25">
        <f t="shared" si="21"/>
        <v>10.06902634334623</v>
      </c>
      <c r="G381" s="25">
        <f>Dimensions!$D$36*F381</f>
        <v>1006.902634334623</v>
      </c>
      <c r="H381" s="18"/>
      <c r="I381" s="25">
        <f>Dimensions!$D$34*A381*A381*A381*0.000000000000000001</f>
        <v>1.236918007293741E-07</v>
      </c>
      <c r="J381" s="25">
        <f t="shared" si="22"/>
        <v>6.712684228897485</v>
      </c>
      <c r="K381" s="25">
        <f>Dimensions!$D$37*J381</f>
        <v>1006.9026343346226</v>
      </c>
    </row>
    <row r="382" spans="1:11" ht="10.5">
      <c r="A382" s="34">
        <f t="shared" si="23"/>
        <v>373</v>
      </c>
      <c r="B382" s="16"/>
      <c r="C382" s="25">
        <f t="shared" si="20"/>
        <v>8.34774E-07</v>
      </c>
      <c r="D382" s="18"/>
      <c r="E382" s="25">
        <f>Dimensions!$D$33*A382*A382*A382*0.000000000000000001</f>
        <v>8.31279994298701E-08</v>
      </c>
      <c r="F382" s="25">
        <f t="shared" si="21"/>
        <v>10.042031634650929</v>
      </c>
      <c r="G382" s="25">
        <f>Dimensions!$D$36*F382</f>
        <v>1004.2031634650929</v>
      </c>
      <c r="H382" s="18"/>
      <c r="I382" s="25">
        <f>Dimensions!$D$34*A382*A382*A382*0.000000000000000001</f>
        <v>1.2469199914480514E-07</v>
      </c>
      <c r="J382" s="25">
        <f t="shared" si="22"/>
        <v>6.694687756433954</v>
      </c>
      <c r="K382" s="25">
        <f>Dimensions!$D$37*J382</f>
        <v>1004.2031634650929</v>
      </c>
    </row>
    <row r="383" spans="1:11" ht="10.5">
      <c r="A383" s="34">
        <f t="shared" si="23"/>
        <v>374</v>
      </c>
      <c r="B383" s="16"/>
      <c r="C383" s="25">
        <f t="shared" si="20"/>
        <v>8.39256E-07</v>
      </c>
      <c r="D383" s="18"/>
      <c r="E383" s="25">
        <f>Dimensions!$D$33*A383*A383*A383*0.000000000000000001</f>
        <v>8.379838330543583E-08</v>
      </c>
      <c r="F383" s="25">
        <f t="shared" si="21"/>
        <v>10.015181282686623</v>
      </c>
      <c r="G383" s="25">
        <f>Dimensions!$D$36*F383</f>
        <v>1001.5181282686623</v>
      </c>
      <c r="H383" s="18"/>
      <c r="I383" s="25">
        <f>Dimensions!$D$34*A383*A383*A383*0.000000000000000001</f>
        <v>1.256975749581537E-07</v>
      </c>
      <c r="J383" s="25">
        <f t="shared" si="22"/>
        <v>6.676787521791083</v>
      </c>
      <c r="K383" s="25">
        <f>Dimensions!$D$37*J383</f>
        <v>1001.5181282686623</v>
      </c>
    </row>
    <row r="384" spans="1:11" ht="10.5">
      <c r="A384" s="34">
        <f t="shared" si="23"/>
        <v>375</v>
      </c>
      <c r="B384" s="16"/>
      <c r="C384" s="25">
        <f t="shared" si="20"/>
        <v>8.4375E-07</v>
      </c>
      <c r="D384" s="18"/>
      <c r="E384" s="25">
        <f>Dimensions!$D$33*A384*A384*A384*0.000000000000000001</f>
        <v>8.447236172402417E-08</v>
      </c>
      <c r="F384" s="25">
        <f t="shared" si="21"/>
        <v>9.988474132599459</v>
      </c>
      <c r="G384" s="25">
        <f>Dimensions!$D$36*F384</f>
        <v>998.8474132599458</v>
      </c>
      <c r="H384" s="18"/>
      <c r="I384" s="25">
        <f>Dimensions!$D$34*A384*A384*A384*0.000000000000000001</f>
        <v>1.2670854258603624E-07</v>
      </c>
      <c r="J384" s="25">
        <f t="shared" si="22"/>
        <v>6.658982755066306</v>
      </c>
      <c r="K384" s="25">
        <f>Dimensions!$D$37*J384</f>
        <v>998.8474132599457</v>
      </c>
    </row>
    <row r="385" spans="1:11" ht="10.5">
      <c r="A385" s="34">
        <f t="shared" si="23"/>
        <v>376</v>
      </c>
      <c r="B385" s="16"/>
      <c r="C385" s="25">
        <f t="shared" si="20"/>
        <v>8.482559999999999E-07</v>
      </c>
      <c r="D385" s="18"/>
      <c r="E385" s="25">
        <f>Dimensions!$D$33*A385*A385*A385*0.000000000000000001</f>
        <v>8.514994429671274E-08</v>
      </c>
      <c r="F385" s="25">
        <f t="shared" si="21"/>
        <v>9.961909041821267</v>
      </c>
      <c r="G385" s="25">
        <f>Dimensions!$D$36*F385</f>
        <v>996.1909041821267</v>
      </c>
      <c r="H385" s="18"/>
      <c r="I385" s="25">
        <f>Dimensions!$D$34*A385*A385*A385*0.000000000000000001</f>
        <v>1.277249164450691E-07</v>
      </c>
      <c r="J385" s="25">
        <f t="shared" si="22"/>
        <v>6.641272694547513</v>
      </c>
      <c r="K385" s="25">
        <f>Dimensions!$D$37*J385</f>
        <v>996.1909041821267</v>
      </c>
    </row>
    <row r="386" spans="1:11" ht="10.5">
      <c r="A386" s="34">
        <f t="shared" si="23"/>
        <v>377</v>
      </c>
      <c r="B386" s="16"/>
      <c r="C386" s="25">
        <f t="shared" si="20"/>
        <v>8.527739999999999E-07</v>
      </c>
      <c r="D386" s="18"/>
      <c r="E386" s="25">
        <f>Dimensions!$D$33*A386*A386*A386*0.000000000000000001</f>
        <v>8.583114063457914E-08</v>
      </c>
      <c r="F386" s="25">
        <f t="shared" si="21"/>
        <v>9.935484879906623</v>
      </c>
      <c r="G386" s="25">
        <f>Dimensions!$D$36*F386</f>
        <v>993.5484879906622</v>
      </c>
      <c r="H386" s="18"/>
      <c r="I386" s="25">
        <f>Dimensions!$D$34*A386*A386*A386*0.000000000000000001</f>
        <v>1.287467109518687E-07</v>
      </c>
      <c r="J386" s="25">
        <f t="shared" si="22"/>
        <v>6.623656586604415</v>
      </c>
      <c r="K386" s="25">
        <f>Dimensions!$D$37*J386</f>
        <v>993.5484879906621</v>
      </c>
    </row>
    <row r="387" spans="1:11" ht="10.5">
      <c r="A387" s="34">
        <f t="shared" si="23"/>
        <v>378</v>
      </c>
      <c r="B387" s="16"/>
      <c r="C387" s="25">
        <f t="shared" si="20"/>
        <v>8.573039999999999E-07</v>
      </c>
      <c r="D387" s="18"/>
      <c r="E387" s="25">
        <f>Dimensions!$D$33*A387*A387*A387*0.000000000000000001</f>
        <v>8.651596034870094E-08</v>
      </c>
      <c r="F387" s="25">
        <f t="shared" si="21"/>
        <v>9.90920052837248</v>
      </c>
      <c r="G387" s="25">
        <f>Dimensions!$D$36*F387</f>
        <v>990.920052837248</v>
      </c>
      <c r="H387" s="18"/>
      <c r="I387" s="25">
        <f>Dimensions!$D$34*A387*A387*A387*0.000000000000000001</f>
        <v>1.2977394052305145E-07</v>
      </c>
      <c r="J387" s="25">
        <f t="shared" si="22"/>
        <v>6.606133685581652</v>
      </c>
      <c r="K387" s="25">
        <f>Dimensions!$D$37*J387</f>
        <v>990.9200528372476</v>
      </c>
    </row>
    <row r="388" spans="1:11" ht="10.5">
      <c r="A388" s="34">
        <f t="shared" si="23"/>
        <v>379</v>
      </c>
      <c r="B388" s="16"/>
      <c r="C388" s="25">
        <f t="shared" si="20"/>
        <v>8.61846E-07</v>
      </c>
      <c r="D388" s="18"/>
      <c r="E388" s="25">
        <f>Dimensions!$D$33*A388*A388*A388*0.000000000000000001</f>
        <v>8.720441305015583E-08</v>
      </c>
      <c r="F388" s="25">
        <f t="shared" si="21"/>
        <v>9.883054880540358</v>
      </c>
      <c r="G388" s="25">
        <f>Dimensions!$D$36*F388</f>
        <v>988.3054880540359</v>
      </c>
      <c r="H388" s="18"/>
      <c r="I388" s="25">
        <f>Dimensions!$D$34*A388*A388*A388*0.000000000000000001</f>
        <v>1.308066195752337E-07</v>
      </c>
      <c r="J388" s="25">
        <f t="shared" si="22"/>
        <v>6.588703253693575</v>
      </c>
      <c r="K388" s="25">
        <f>Dimensions!$D$37*J388</f>
        <v>988.3054880540361</v>
      </c>
    </row>
    <row r="389" spans="1:11" ht="10.5">
      <c r="A389" s="34">
        <f t="shared" si="23"/>
        <v>380</v>
      </c>
      <c r="B389" s="16"/>
      <c r="C389" s="25">
        <f t="shared" si="20"/>
        <v>8.664E-07</v>
      </c>
      <c r="D389" s="18"/>
      <c r="E389" s="25">
        <f>Dimensions!$D$33*A389*A389*A389*0.000000000000000001</f>
        <v>8.789650835002129E-08</v>
      </c>
      <c r="F389" s="25">
        <f t="shared" si="21"/>
        <v>9.857046841381045</v>
      </c>
      <c r="G389" s="25">
        <f>Dimensions!$D$36*F389</f>
        <v>985.7046841381045</v>
      </c>
      <c r="H389" s="18"/>
      <c r="I389" s="25">
        <f>Dimensions!$D$34*A389*A389*A389*0.000000000000000001</f>
        <v>1.3184476252503193E-07</v>
      </c>
      <c r="J389" s="25">
        <f t="shared" si="22"/>
        <v>6.5713645609206965</v>
      </c>
      <c r="K389" s="25">
        <f>Dimensions!$D$37*J389</f>
        <v>985.7046841381043</v>
      </c>
    </row>
    <row r="390" spans="1:11" ht="10.5">
      <c r="A390" s="34">
        <f t="shared" si="23"/>
        <v>381</v>
      </c>
      <c r="B390" s="16"/>
      <c r="C390" s="25">
        <f t="shared" si="20"/>
        <v>8.70966E-07</v>
      </c>
      <c r="D390" s="18"/>
      <c r="E390" s="25">
        <f>Dimensions!$D$33*A390*A390*A390*0.000000000000000001</f>
        <v>8.859225585937499E-08</v>
      </c>
      <c r="F390" s="25">
        <f t="shared" si="21"/>
        <v>9.831175327361674</v>
      </c>
      <c r="G390" s="25">
        <f>Dimensions!$D$36*F390</f>
        <v>983.1175327361674</v>
      </c>
      <c r="H390" s="18"/>
      <c r="I390" s="25">
        <f>Dimensions!$D$34*A390*A390*A390*0.000000000000000001</f>
        <v>1.328883837890625E-07</v>
      </c>
      <c r="J390" s="25">
        <f t="shared" si="22"/>
        <v>6.554116884907781</v>
      </c>
      <c r="K390" s="25">
        <f>Dimensions!$D$37*J390</f>
        <v>983.117532736167</v>
      </c>
    </row>
    <row r="391" spans="1:11" ht="10.5">
      <c r="A391" s="34">
        <f t="shared" si="23"/>
        <v>382</v>
      </c>
      <c r="B391" s="16"/>
      <c r="C391" s="25">
        <f t="shared" si="20"/>
        <v>8.75544E-07</v>
      </c>
      <c r="D391" s="18"/>
      <c r="E391" s="25">
        <f>Dimensions!$D$33*A391*A391*A391*0.000000000000000001</f>
        <v>8.929166518929453E-08</v>
      </c>
      <c r="F391" s="25">
        <f t="shared" si="21"/>
        <v>9.80543926629528</v>
      </c>
      <c r="G391" s="25">
        <f>Dimensions!$D$36*F391</f>
        <v>980.5439266295281</v>
      </c>
      <c r="H391" s="18"/>
      <c r="I391" s="25">
        <f>Dimensions!$D$34*A391*A391*A391*0.000000000000000001</f>
        <v>1.3393749778394177E-07</v>
      </c>
      <c r="J391" s="25">
        <f t="shared" si="22"/>
        <v>6.536959510863522</v>
      </c>
      <c r="K391" s="25">
        <f>Dimensions!$D$37*J391</f>
        <v>980.5439266295281</v>
      </c>
    </row>
    <row r="392" spans="1:11" ht="10.5">
      <c r="A392" s="34">
        <f t="shared" si="23"/>
        <v>383</v>
      </c>
      <c r="B392" s="16"/>
      <c r="C392" s="25">
        <f t="shared" si="20"/>
        <v>8.801339999999999E-07</v>
      </c>
      <c r="D392" s="18"/>
      <c r="E392" s="25">
        <f>Dimensions!$D$33*A392*A392*A392*0.000000000000000001</f>
        <v>8.999474595085749E-08</v>
      </c>
      <c r="F392" s="25">
        <f t="shared" si="21"/>
        <v>9.779837597192682</v>
      </c>
      <c r="G392" s="25">
        <f>Dimensions!$D$36*F392</f>
        <v>977.9837597192682</v>
      </c>
      <c r="H392" s="18"/>
      <c r="I392" s="25">
        <f>Dimensions!$D$34*A392*A392*A392*0.000000000000000001</f>
        <v>1.3499211892628625E-07</v>
      </c>
      <c r="J392" s="25">
        <f t="shared" si="22"/>
        <v>6.5198917314617875</v>
      </c>
      <c r="K392" s="25">
        <f>Dimensions!$D$37*J392</f>
        <v>977.9837597192679</v>
      </c>
    </row>
    <row r="393" spans="1:11" ht="10.5">
      <c r="A393" s="34">
        <f t="shared" si="23"/>
        <v>384</v>
      </c>
      <c r="B393" s="16"/>
      <c r="C393" s="25">
        <f t="shared" si="20"/>
        <v>8.84736E-07</v>
      </c>
      <c r="D393" s="18"/>
      <c r="E393" s="25">
        <f>Dimensions!$D$33*A393*A393*A393*0.000000000000000001</f>
        <v>9.070150775514149E-08</v>
      </c>
      <c r="F393" s="25">
        <f t="shared" si="21"/>
        <v>9.754369270116658</v>
      </c>
      <c r="G393" s="25">
        <f>Dimensions!$D$36*F393</f>
        <v>975.4369270116658</v>
      </c>
      <c r="H393" s="18"/>
      <c r="I393" s="25">
        <f>Dimensions!$D$34*A393*A393*A393*0.000000000000000001</f>
        <v>1.3605226163271222E-07</v>
      </c>
      <c r="J393" s="25">
        <f t="shared" si="22"/>
        <v>6.50291284674444</v>
      </c>
      <c r="K393" s="25">
        <f>Dimensions!$D$37*J393</f>
        <v>975.4369270116658</v>
      </c>
    </row>
    <row r="394" spans="1:11" ht="10.5">
      <c r="A394" s="34">
        <f t="shared" si="23"/>
        <v>385</v>
      </c>
      <c r="B394" s="16"/>
      <c r="C394" s="25">
        <f t="shared" si="20"/>
        <v>8.8935E-07</v>
      </c>
      <c r="D394" s="18"/>
      <c r="E394" s="25">
        <f>Dimensions!$D$33*A394*A394*A394*0.000000000000000001</f>
        <v>9.141196021322413E-08</v>
      </c>
      <c r="F394" s="25">
        <f t="shared" si="21"/>
        <v>9.729033246038432</v>
      </c>
      <c r="G394" s="25">
        <f>Dimensions!$D$36*F394</f>
        <v>972.9033246038432</v>
      </c>
      <c r="H394" s="18"/>
      <c r="I394" s="25">
        <f>Dimensions!$D$34*A394*A394*A394*0.000000000000000001</f>
        <v>1.3711794031983616E-07</v>
      </c>
      <c r="J394" s="25">
        <f t="shared" si="22"/>
        <v>6.4860221640256235</v>
      </c>
      <c r="K394" s="25">
        <f>Dimensions!$D$37*J394</f>
        <v>972.9033246038433</v>
      </c>
    </row>
    <row r="395" spans="1:11" ht="10.5">
      <c r="A395" s="34">
        <f t="shared" si="23"/>
        <v>386</v>
      </c>
      <c r="B395" s="16"/>
      <c r="C395" s="25">
        <f aca="true" t="shared" si="24" ref="C395:C458">6*A395*A395*0.000000000001</f>
        <v>8.93976E-07</v>
      </c>
      <c r="D395" s="18"/>
      <c r="E395" s="25">
        <f>Dimensions!$D$33*A395*A395*A395*0.000000000000000001</f>
        <v>9.212611293618298E-08</v>
      </c>
      <c r="F395" s="25">
        <f aca="true" t="shared" si="25" ref="F395:F458">C395/E395</f>
        <v>9.703828496696365</v>
      </c>
      <c r="G395" s="25">
        <f>Dimensions!$D$36*F395</f>
        <v>970.3828496696366</v>
      </c>
      <c r="H395" s="18"/>
      <c r="I395" s="25">
        <f>Dimensions!$D$34*A395*A395*A395*0.000000000000000001</f>
        <v>1.3818916940427445E-07</v>
      </c>
      <c r="J395" s="25">
        <f aca="true" t="shared" si="26" ref="J395:J458">C395/I395</f>
        <v>6.469218997797578</v>
      </c>
      <c r="K395" s="25">
        <f>Dimensions!$D$37*J395</f>
        <v>970.3828496696365</v>
      </c>
    </row>
    <row r="396" spans="1:11" ht="10.5">
      <c r="A396" s="34">
        <f aca="true" t="shared" si="27" ref="A396:A459">A395+1</f>
        <v>387</v>
      </c>
      <c r="B396" s="16"/>
      <c r="C396" s="25">
        <f t="shared" si="24"/>
        <v>8.98614E-07</v>
      </c>
      <c r="D396" s="18"/>
      <c r="E396" s="25">
        <f>Dimensions!$D$33*A396*A396*A396*0.000000000000000001</f>
        <v>9.284397553509567E-08</v>
      </c>
      <c r="F396" s="25">
        <f t="shared" si="25"/>
        <v>9.67875400445684</v>
      </c>
      <c r="G396" s="25">
        <f>Dimensions!$D$36*F396</f>
        <v>967.875400445684</v>
      </c>
      <c r="H396" s="18"/>
      <c r="I396" s="25">
        <f>Dimensions!$D$34*A396*A396*A396*0.000000000000000001</f>
        <v>1.3926596330264347E-07</v>
      </c>
      <c r="J396" s="25">
        <f t="shared" si="26"/>
        <v>6.452502669637894</v>
      </c>
      <c r="K396" s="25">
        <f>Dimensions!$D$37*J396</f>
        <v>967.875400445684</v>
      </c>
    </row>
    <row r="397" spans="1:11" ht="10.5">
      <c r="A397" s="34">
        <f t="shared" si="27"/>
        <v>388</v>
      </c>
      <c r="B397" s="16"/>
      <c r="C397" s="25">
        <f t="shared" si="24"/>
        <v>9.03264E-07</v>
      </c>
      <c r="D397" s="18"/>
      <c r="E397" s="25">
        <f>Dimensions!$D$33*A397*A397*A397*0.000000000000000001</f>
        <v>9.356555762103977E-08</v>
      </c>
      <c r="F397" s="25">
        <f t="shared" si="25"/>
        <v>9.653808762177313</v>
      </c>
      <c r="G397" s="25">
        <f>Dimensions!$D$36*F397</f>
        <v>965.3808762177313</v>
      </c>
      <c r="H397" s="18"/>
      <c r="I397" s="25">
        <f>Dimensions!$D$34*A397*A397*A397*0.000000000000000001</f>
        <v>1.4034833643155967E-07</v>
      </c>
      <c r="J397" s="25">
        <f t="shared" si="26"/>
        <v>6.435872508118208</v>
      </c>
      <c r="K397" s="25">
        <f>Dimensions!$D$37*J397</f>
        <v>965.3808762177309</v>
      </c>
    </row>
    <row r="398" spans="1:11" ht="10.5">
      <c r="A398" s="34">
        <f t="shared" si="27"/>
        <v>389</v>
      </c>
      <c r="B398" s="16"/>
      <c r="C398" s="25">
        <f t="shared" si="24"/>
        <v>9.07926E-07</v>
      </c>
      <c r="D398" s="18"/>
      <c r="E398" s="25">
        <f>Dimensions!$D$33*A398*A398*A398*0.000000000000000001</f>
        <v>9.429086880509294E-08</v>
      </c>
      <c r="F398" s="25">
        <f t="shared" si="25"/>
        <v>9.628991773071457</v>
      </c>
      <c r="G398" s="25">
        <f>Dimensions!$D$36*F398</f>
        <v>962.8991773071457</v>
      </c>
      <c r="H398" s="18"/>
      <c r="I398" s="25">
        <f>Dimensions!$D$34*A398*A398*A398*0.000000000000000001</f>
        <v>1.414363032076394E-07</v>
      </c>
      <c r="J398" s="25">
        <f t="shared" si="26"/>
        <v>6.419327848714306</v>
      </c>
      <c r="K398" s="25">
        <f>Dimensions!$D$37*J398</f>
        <v>962.8991773071457</v>
      </c>
    </row>
    <row r="399" spans="1:11" ht="10.5">
      <c r="A399" s="34">
        <f t="shared" si="27"/>
        <v>390</v>
      </c>
      <c r="B399" s="16"/>
      <c r="C399" s="25">
        <f t="shared" si="24"/>
        <v>9.126E-07</v>
      </c>
      <c r="D399" s="18"/>
      <c r="E399" s="25">
        <f>Dimensions!$D$33*A399*A399*A399*0.000000000000000001</f>
        <v>9.501991869833272E-08</v>
      </c>
      <c r="F399" s="25">
        <f t="shared" si="25"/>
        <v>9.604302050576402</v>
      </c>
      <c r="G399" s="25">
        <f>Dimensions!$D$36*F399</f>
        <v>960.4302050576403</v>
      </c>
      <c r="H399" s="18"/>
      <c r="I399" s="25">
        <f>Dimensions!$D$34*A399*A399*A399*0.000000000000000001</f>
        <v>1.4252987804749907E-07</v>
      </c>
      <c r="J399" s="25">
        <f t="shared" si="26"/>
        <v>6.402868033717602</v>
      </c>
      <c r="K399" s="25">
        <f>Dimensions!$D$37*J399</f>
        <v>960.4302050576401</v>
      </c>
    </row>
    <row r="400" spans="1:11" ht="10.5">
      <c r="A400" s="34">
        <f t="shared" si="27"/>
        <v>391</v>
      </c>
      <c r="B400" s="16"/>
      <c r="C400" s="25">
        <f t="shared" si="24"/>
        <v>9.17286E-07</v>
      </c>
      <c r="D400" s="18"/>
      <c r="E400" s="25">
        <f>Dimensions!$D$33*A400*A400*A400*0.000000000000000001</f>
        <v>9.575271691183675E-08</v>
      </c>
      <c r="F400" s="25">
        <f t="shared" si="25"/>
        <v>9.579738618221986</v>
      </c>
      <c r="G400" s="25">
        <f>Dimensions!$D$36*F400</f>
        <v>957.9738618221986</v>
      </c>
      <c r="H400" s="18"/>
      <c r="I400" s="25">
        <f>Dimensions!$D$34*A400*A400*A400*0.000000000000000001</f>
        <v>1.436290753677551E-07</v>
      </c>
      <c r="J400" s="25">
        <f t="shared" si="26"/>
        <v>6.386492412147992</v>
      </c>
      <c r="K400" s="25">
        <f>Dimensions!$D$37*J400</f>
        <v>957.9738618221986</v>
      </c>
    </row>
    <row r="401" spans="1:11" ht="10.5">
      <c r="A401" s="34">
        <f t="shared" si="27"/>
        <v>392</v>
      </c>
      <c r="B401" s="16"/>
      <c r="C401" s="25">
        <f t="shared" si="24"/>
        <v>9.21984E-07</v>
      </c>
      <c r="D401" s="18"/>
      <c r="E401" s="25">
        <f>Dimensions!$D$33*A401*A401*A401*0.000000000000000001</f>
        <v>9.64892730566826E-08</v>
      </c>
      <c r="F401" s="25">
        <f t="shared" si="25"/>
        <v>9.555300509502034</v>
      </c>
      <c r="G401" s="25">
        <f>Dimensions!$D$36*F401</f>
        <v>955.5300509502034</v>
      </c>
      <c r="H401" s="18"/>
      <c r="I401" s="25">
        <f>Dimensions!$D$34*A401*A401*A401*0.000000000000000001</f>
        <v>1.4473390958502386E-07</v>
      </c>
      <c r="J401" s="25">
        <f t="shared" si="26"/>
        <v>6.370200339668023</v>
      </c>
      <c r="K401" s="25">
        <f>Dimensions!$D$37*J401</f>
        <v>955.5300509502033</v>
      </c>
    </row>
    <row r="402" spans="1:11" ht="10.5">
      <c r="A402" s="34">
        <f t="shared" si="27"/>
        <v>393</v>
      </c>
      <c r="B402" s="16"/>
      <c r="C402" s="25">
        <f t="shared" si="24"/>
        <v>9.26694E-07</v>
      </c>
      <c r="D402" s="18"/>
      <c r="E402" s="25">
        <f>Dimensions!$D$33*A402*A402*A402*0.000000000000000001</f>
        <v>9.722959674394788E-08</v>
      </c>
      <c r="F402" s="25">
        <f t="shared" si="25"/>
        <v>9.530986767747576</v>
      </c>
      <c r="G402" s="25">
        <f>Dimensions!$D$36*F402</f>
        <v>953.0986767747576</v>
      </c>
      <c r="H402" s="18"/>
      <c r="I402" s="25">
        <f>Dimensions!$D$34*A402*A402*A402*0.000000000000000001</f>
        <v>1.4584439511592183E-07</v>
      </c>
      <c r="J402" s="25">
        <f t="shared" si="26"/>
        <v>6.353991178498383</v>
      </c>
      <c r="K402" s="25">
        <f>Dimensions!$D$37*J402</f>
        <v>953.0986767747572</v>
      </c>
    </row>
    <row r="403" spans="1:11" ht="10.5">
      <c r="A403" s="34">
        <f t="shared" si="27"/>
        <v>394</v>
      </c>
      <c r="B403" s="16"/>
      <c r="C403" s="25">
        <f t="shared" si="24"/>
        <v>9.31416E-07</v>
      </c>
      <c r="D403" s="18"/>
      <c r="E403" s="25">
        <f>Dimensions!$D$33*A403*A403*A403*0.000000000000000001</f>
        <v>9.79736975847102E-08</v>
      </c>
      <c r="F403" s="25">
        <f t="shared" si="25"/>
        <v>9.506796446002024</v>
      </c>
      <c r="G403" s="25">
        <f>Dimensions!$D$36*F403</f>
        <v>950.6796446002024</v>
      </c>
      <c r="H403" s="18"/>
      <c r="I403" s="25">
        <f>Dimensions!$D$34*A403*A403*A403*0.000000000000000001</f>
        <v>1.4696054637706533E-07</v>
      </c>
      <c r="J403" s="25">
        <f t="shared" si="26"/>
        <v>6.337864297334681</v>
      </c>
      <c r="K403" s="25">
        <f>Dimensions!$D$37*J403</f>
        <v>950.679644600202</v>
      </c>
    </row>
    <row r="404" spans="1:11" ht="10.5">
      <c r="A404" s="34">
        <f t="shared" si="27"/>
        <v>395</v>
      </c>
      <c r="B404" s="16"/>
      <c r="C404" s="25">
        <f t="shared" si="24"/>
        <v>9.3615E-07</v>
      </c>
      <c r="D404" s="18"/>
      <c r="E404" s="25">
        <f>Dimensions!$D$33*A404*A404*A404*0.000000000000000001</f>
        <v>9.872158519004717E-08</v>
      </c>
      <c r="F404" s="25">
        <f t="shared" si="25"/>
        <v>9.48272860689822</v>
      </c>
      <c r="G404" s="25">
        <f>Dimensions!$D$36*F404</f>
        <v>948.272860689822</v>
      </c>
      <c r="H404" s="18"/>
      <c r="I404" s="25">
        <f>Dimensions!$D$34*A404*A404*A404*0.000000000000000001</f>
        <v>1.4808237778507075E-07</v>
      </c>
      <c r="J404" s="25">
        <f t="shared" si="26"/>
        <v>6.321819071265481</v>
      </c>
      <c r="K404" s="25">
        <f>Dimensions!$D$37*J404</f>
        <v>948.272860689822</v>
      </c>
    </row>
    <row r="405" spans="1:11" ht="10.5">
      <c r="A405" s="34">
        <f t="shared" si="27"/>
        <v>396</v>
      </c>
      <c r="B405" s="16"/>
      <c r="C405" s="25">
        <f t="shared" si="24"/>
        <v>9.40896E-07</v>
      </c>
      <c r="D405" s="18"/>
      <c r="E405" s="25">
        <f>Dimensions!$D$33*A405*A405*A405*0.000000000000000001</f>
        <v>9.947326917103639E-08</v>
      </c>
      <c r="F405" s="25">
        <f t="shared" si="25"/>
        <v>9.458782322537363</v>
      </c>
      <c r="G405" s="25">
        <f>Dimensions!$D$36*F405</f>
        <v>945.8782322537363</v>
      </c>
      <c r="H405" s="18"/>
      <c r="I405" s="25">
        <f>Dimensions!$D$34*A405*A405*A405*0.000000000000000001</f>
        <v>1.4920990375655455E-07</v>
      </c>
      <c r="J405" s="25">
        <f t="shared" si="26"/>
        <v>6.305854881691578</v>
      </c>
      <c r="K405" s="25">
        <f>Dimensions!$D$37*J405</f>
        <v>945.8782322537364</v>
      </c>
    </row>
    <row r="406" spans="1:11" ht="10.5">
      <c r="A406" s="34">
        <f t="shared" si="27"/>
        <v>397</v>
      </c>
      <c r="B406" s="16"/>
      <c r="C406" s="25">
        <f t="shared" si="24"/>
        <v>9.45654E-07</v>
      </c>
      <c r="D406" s="18"/>
      <c r="E406" s="25">
        <f>Dimensions!$D$33*A406*A406*A406*0.000000000000000001</f>
        <v>1.0022875913875541E-07</v>
      </c>
      <c r="F406" s="25">
        <f t="shared" si="25"/>
        <v>9.434956674369765</v>
      </c>
      <c r="G406" s="25">
        <f>Dimensions!$D$36*F406</f>
        <v>943.4956674369765</v>
      </c>
      <c r="H406" s="18"/>
      <c r="I406" s="25">
        <f>Dimensions!$D$34*A406*A406*A406*0.000000000000000001</f>
        <v>1.503431387081331E-07</v>
      </c>
      <c r="J406" s="25">
        <f t="shared" si="26"/>
        <v>6.289971116246511</v>
      </c>
      <c r="K406" s="25">
        <f>Dimensions!$D$37*J406</f>
        <v>943.4956674369764</v>
      </c>
    </row>
    <row r="407" spans="1:11" ht="10.5">
      <c r="A407" s="34">
        <f t="shared" si="27"/>
        <v>398</v>
      </c>
      <c r="B407" s="16"/>
      <c r="C407" s="25">
        <f t="shared" si="24"/>
        <v>9.50424E-07</v>
      </c>
      <c r="D407" s="18"/>
      <c r="E407" s="25">
        <f>Dimensions!$D$33*A407*A407*A407*0.000000000000000001</f>
        <v>1.009880647042819E-07</v>
      </c>
      <c r="F407" s="25">
        <f t="shared" si="25"/>
        <v>9.411250753077377</v>
      </c>
      <c r="G407" s="25">
        <f>Dimensions!$D$36*F407</f>
        <v>941.1250753077377</v>
      </c>
      <c r="H407" s="18"/>
      <c r="I407" s="25">
        <f>Dimensions!$D$34*A407*A407*A407*0.000000000000000001</f>
        <v>1.514820970564228E-07</v>
      </c>
      <c r="J407" s="25">
        <f t="shared" si="26"/>
        <v>6.274167168718253</v>
      </c>
      <c r="K407" s="25">
        <f>Dimensions!$D$37*J407</f>
        <v>941.1250753077378</v>
      </c>
    </row>
    <row r="408" spans="1:11" ht="10.5">
      <c r="A408" s="34">
        <f t="shared" si="27"/>
        <v>399</v>
      </c>
      <c r="B408" s="16"/>
      <c r="C408" s="25">
        <f t="shared" si="24"/>
        <v>9.55206E-07</v>
      </c>
      <c r="D408" s="18"/>
      <c r="E408" s="25">
        <f>Dimensions!$D$33*A408*A408*A408*0.000000000000000001</f>
        <v>1.0175119547869339E-07</v>
      </c>
      <c r="F408" s="25">
        <f t="shared" si="25"/>
        <v>9.387663658458138</v>
      </c>
      <c r="G408" s="25">
        <f>Dimensions!$D$36*F408</f>
        <v>938.7663658458138</v>
      </c>
      <c r="H408" s="18"/>
      <c r="I408" s="25">
        <f>Dimensions!$D$34*A408*A408*A408*0.000000000000000001</f>
        <v>1.5262679321804007E-07</v>
      </c>
      <c r="J408" s="25">
        <f t="shared" si="26"/>
        <v>6.258442438972093</v>
      </c>
      <c r="K408" s="25">
        <f>Dimensions!$D$37*J408</f>
        <v>938.7663658458138</v>
      </c>
    </row>
    <row r="409" spans="1:11" ht="10.5">
      <c r="A409" s="34">
        <f t="shared" si="27"/>
        <v>400</v>
      </c>
      <c r="B409" s="16"/>
      <c r="C409" s="25">
        <f t="shared" si="24"/>
        <v>9.6E-07</v>
      </c>
      <c r="D409" s="18"/>
      <c r="E409" s="25">
        <f>Dimensions!$D$33*A409*A409*A409*0.000000000000000001</f>
        <v>1.0251816107306756E-07</v>
      </c>
      <c r="F409" s="25">
        <f t="shared" si="25"/>
        <v>9.36419449931199</v>
      </c>
      <c r="G409" s="25">
        <f>Dimensions!$D$36*F409</f>
        <v>936.419449931199</v>
      </c>
      <c r="H409" s="18"/>
      <c r="I409" s="25">
        <f>Dimensions!$D$34*A409*A409*A409*0.000000000000000001</f>
        <v>1.5377724160960134E-07</v>
      </c>
      <c r="J409" s="25">
        <f t="shared" si="26"/>
        <v>6.2427963328746605</v>
      </c>
      <c r="K409" s="25">
        <f>Dimensions!$D$37*J409</f>
        <v>936.4194499311989</v>
      </c>
    </row>
    <row r="410" spans="1:11" ht="10.5">
      <c r="A410" s="34">
        <f t="shared" si="27"/>
        <v>401</v>
      </c>
      <c r="B410" s="16"/>
      <c r="C410" s="25">
        <f t="shared" si="24"/>
        <v>9.64806E-07</v>
      </c>
      <c r="D410" s="18"/>
      <c r="E410" s="25">
        <f>Dimensions!$D$33*A410*A410*A410*0.000000000000000001</f>
        <v>1.0328897109848195E-07</v>
      </c>
      <c r="F410" s="25">
        <f t="shared" si="25"/>
        <v>9.340842393328671</v>
      </c>
      <c r="G410" s="25">
        <f>Dimensions!$D$36*F410</f>
        <v>934.0842393328671</v>
      </c>
      <c r="H410" s="18"/>
      <c r="I410" s="25">
        <f>Dimensions!$D$34*A410*A410*A410*0.000000000000000001</f>
        <v>1.549334566477229E-07</v>
      </c>
      <c r="J410" s="25">
        <f t="shared" si="26"/>
        <v>6.227228262219114</v>
      </c>
      <c r="K410" s="25">
        <f>Dimensions!$D$37*J410</f>
        <v>934.0842393328669</v>
      </c>
    </row>
    <row r="411" spans="1:11" ht="10.5">
      <c r="A411" s="34">
        <f t="shared" si="27"/>
        <v>402</v>
      </c>
      <c r="B411" s="16"/>
      <c r="C411" s="25">
        <f t="shared" si="24"/>
        <v>9.69624E-07</v>
      </c>
      <c r="D411" s="18"/>
      <c r="E411" s="25">
        <f>Dimensions!$D$33*A411*A411*A411*0.000000000000000001</f>
        <v>1.040636351660142E-07</v>
      </c>
      <c r="F411" s="25">
        <f t="shared" si="25"/>
        <v>9.317606466977105</v>
      </c>
      <c r="G411" s="25">
        <f>Dimensions!$D$36*F411</f>
        <v>931.7606466977105</v>
      </c>
      <c r="H411" s="18"/>
      <c r="I411" s="25">
        <f>Dimensions!$D$34*A411*A411*A411*0.000000000000000001</f>
        <v>1.5609545274902125E-07</v>
      </c>
      <c r="J411" s="25">
        <f t="shared" si="26"/>
        <v>6.211737644651405</v>
      </c>
      <c r="K411" s="25">
        <f>Dimensions!$D$37*J411</f>
        <v>931.7606466977106</v>
      </c>
    </row>
    <row r="412" spans="1:11" ht="10.5">
      <c r="A412" s="34">
        <f t="shared" si="27"/>
        <v>403</v>
      </c>
      <c r="B412" s="16"/>
      <c r="C412" s="25">
        <f t="shared" si="24"/>
        <v>9.74454E-07</v>
      </c>
      <c r="D412" s="18"/>
      <c r="E412" s="25">
        <f>Dimensions!$D$33*A412*A412*A412*0.000000000000000001</f>
        <v>1.0484216288674186E-07</v>
      </c>
      <c r="F412" s="25">
        <f t="shared" si="25"/>
        <v>9.294485855396518</v>
      </c>
      <c r="G412" s="25">
        <f>Dimensions!$D$36*F412</f>
        <v>929.4485855396518</v>
      </c>
      <c r="H412" s="18"/>
      <c r="I412" s="25">
        <f>Dimensions!$D$34*A412*A412*A412*0.000000000000000001</f>
        <v>1.5726324433011278E-07</v>
      </c>
      <c r="J412" s="25">
        <f t="shared" si="26"/>
        <v>6.196323903597679</v>
      </c>
      <c r="K412" s="25">
        <f>Dimensions!$D$37*J412</f>
        <v>929.4485855396516</v>
      </c>
    </row>
    <row r="413" spans="1:11" ht="10.5">
      <c r="A413" s="34">
        <f t="shared" si="27"/>
        <v>404</v>
      </c>
      <c r="B413" s="16"/>
      <c r="C413" s="25">
        <f t="shared" si="24"/>
        <v>9.79296E-07</v>
      </c>
      <c r="D413" s="18"/>
      <c r="E413" s="25">
        <f>Dimensions!$D$33*A413*A413*A413*0.000000000000000001</f>
        <v>1.0562456387174258E-07</v>
      </c>
      <c r="F413" s="25">
        <f t="shared" si="25"/>
        <v>9.271479702289101</v>
      </c>
      <c r="G413" s="25">
        <f>Dimensions!$D$36*F413</f>
        <v>927.1479702289101</v>
      </c>
      <c r="H413" s="18"/>
      <c r="I413" s="25">
        <f>Dimensions!$D$34*A413*A413*A413*0.000000000000000001</f>
        <v>1.5843684580761383E-07</v>
      </c>
      <c r="J413" s="25">
        <f t="shared" si="26"/>
        <v>6.180986468192735</v>
      </c>
      <c r="K413" s="25">
        <f>Dimensions!$D$37*J413</f>
        <v>927.1479702289101</v>
      </c>
    </row>
    <row r="414" spans="1:11" ht="10.5">
      <c r="A414" s="34">
        <f t="shared" si="27"/>
        <v>405</v>
      </c>
      <c r="B414" s="16"/>
      <c r="C414" s="25">
        <f t="shared" si="24"/>
        <v>9.8415E-07</v>
      </c>
      <c r="D414" s="18"/>
      <c r="E414" s="25">
        <f>Dimensions!$D$33*A414*A414*A414*0.000000000000000001</f>
        <v>1.0641084773209394E-07</v>
      </c>
      <c r="F414" s="25">
        <f t="shared" si="25"/>
        <v>9.248587159814312</v>
      </c>
      <c r="G414" s="25">
        <f>Dimensions!$D$36*F414</f>
        <v>924.8587159814311</v>
      </c>
      <c r="H414" s="18"/>
      <c r="I414" s="25">
        <f>Dimensions!$D$34*A414*A414*A414*0.000000000000000001</f>
        <v>1.596162715981409E-07</v>
      </c>
      <c r="J414" s="25">
        <f t="shared" si="26"/>
        <v>6.165724773209543</v>
      </c>
      <c r="K414" s="25">
        <f>Dimensions!$D$37*J414</f>
        <v>924.8587159814313</v>
      </c>
    </row>
    <row r="415" spans="1:11" ht="10.5">
      <c r="A415" s="34">
        <f t="shared" si="27"/>
        <v>406</v>
      </c>
      <c r="B415" s="16"/>
      <c r="C415" s="25">
        <f t="shared" si="24"/>
        <v>9.89016E-07</v>
      </c>
      <c r="D415" s="18"/>
      <c r="E415" s="25">
        <f>Dimensions!$D$33*A415*A415*A415*0.000000000000000001</f>
        <v>1.0720102407887353E-07</v>
      </c>
      <c r="F415" s="25">
        <f t="shared" si="25"/>
        <v>9.225807388484721</v>
      </c>
      <c r="G415" s="25">
        <f>Dimensions!$D$36*F415</f>
        <v>922.5807388484722</v>
      </c>
      <c r="H415" s="18"/>
      <c r="I415" s="25">
        <f>Dimensions!$D$34*A415*A415*A415*0.000000000000000001</f>
        <v>1.6080153611831028E-07</v>
      </c>
      <c r="J415" s="25">
        <f t="shared" si="26"/>
        <v>6.150538258989815</v>
      </c>
      <c r="K415" s="25">
        <f>Dimensions!$D$37*J415</f>
        <v>922.5807388484722</v>
      </c>
    </row>
    <row r="416" spans="1:11" ht="10.5">
      <c r="A416" s="34">
        <f t="shared" si="27"/>
        <v>407</v>
      </c>
      <c r="B416" s="16"/>
      <c r="C416" s="25">
        <f t="shared" si="24"/>
        <v>9.93894E-07</v>
      </c>
      <c r="D416" s="18"/>
      <c r="E416" s="25">
        <f>Dimensions!$D$33*A416*A416*A416*0.000000000000000001</f>
        <v>1.0799510252315898E-07</v>
      </c>
      <c r="F416" s="25">
        <f t="shared" si="25"/>
        <v>9.203139557063384</v>
      </c>
      <c r="G416" s="25">
        <f>Dimensions!$D$36*F416</f>
        <v>920.3139557063384</v>
      </c>
      <c r="H416" s="18"/>
      <c r="I416" s="25">
        <f>Dimensions!$D$34*A416*A416*A416*0.000000000000000001</f>
        <v>1.6199265378473846E-07</v>
      </c>
      <c r="J416" s="25">
        <f t="shared" si="26"/>
        <v>6.135426371375589</v>
      </c>
      <c r="K416" s="25">
        <f>Dimensions!$D$37*J416</f>
        <v>920.3139557063381</v>
      </c>
    </row>
    <row r="417" spans="1:11" ht="10.5">
      <c r="A417" s="34">
        <f t="shared" si="27"/>
        <v>408</v>
      </c>
      <c r="B417" s="16"/>
      <c r="C417" s="25">
        <f t="shared" si="24"/>
        <v>9.98784E-07</v>
      </c>
      <c r="D417" s="18"/>
      <c r="E417" s="25">
        <f>Dimensions!$D$33*A417*A417*A417*0.000000000000000001</f>
        <v>1.0879309267602789E-07</v>
      </c>
      <c r="F417" s="25">
        <f t="shared" si="25"/>
        <v>9.180582842462737</v>
      </c>
      <c r="G417" s="25">
        <f>Dimensions!$D$36*F417</f>
        <v>918.0582842462737</v>
      </c>
      <c r="H417" s="18"/>
      <c r="I417" s="25">
        <f>Dimensions!$D$34*A417*A417*A417*0.000000000000000001</f>
        <v>1.631896390140418E-07</v>
      </c>
      <c r="J417" s="25">
        <f t="shared" si="26"/>
        <v>6.120388561641826</v>
      </c>
      <c r="K417" s="25">
        <f>Dimensions!$D$37*J417</f>
        <v>918.0582842462737</v>
      </c>
    </row>
    <row r="418" spans="1:11" ht="10.5">
      <c r="A418" s="34">
        <f t="shared" si="27"/>
        <v>409</v>
      </c>
      <c r="B418" s="16"/>
      <c r="C418" s="25">
        <f t="shared" si="24"/>
        <v>1.003686E-06</v>
      </c>
      <c r="D418" s="18"/>
      <c r="E418" s="25">
        <f>Dimensions!$D$33*A418*A418*A418*0.000000000000000001</f>
        <v>1.0959500414855782E-07</v>
      </c>
      <c r="F418" s="25">
        <f t="shared" si="25"/>
        <v>9.15813642964498</v>
      </c>
      <c r="G418" s="25">
        <f>Dimensions!$D$36*F418</f>
        <v>915.813642964498</v>
      </c>
      <c r="H418" s="18"/>
      <c r="I418" s="25">
        <f>Dimensions!$D$34*A418*A418*A418*0.000000000000000001</f>
        <v>1.643925062228367E-07</v>
      </c>
      <c r="J418" s="25">
        <f t="shared" si="26"/>
        <v>6.1054242864299875</v>
      </c>
      <c r="K418" s="25">
        <f>Dimensions!$D$37*J418</f>
        <v>915.813642964498</v>
      </c>
    </row>
    <row r="419" spans="1:11" ht="10.5">
      <c r="A419" s="34">
        <f t="shared" si="27"/>
        <v>410</v>
      </c>
      <c r="B419" s="16"/>
      <c r="C419" s="25">
        <f t="shared" si="24"/>
        <v>1.0086E-06</v>
      </c>
      <c r="D419" s="18"/>
      <c r="E419" s="25">
        <f>Dimensions!$D$33*A419*A419*A419*0.000000000000000001</f>
        <v>1.104008465518264E-07</v>
      </c>
      <c r="F419" s="25">
        <f t="shared" si="25"/>
        <v>9.135799511523894</v>
      </c>
      <c r="G419" s="25">
        <f>Dimensions!$D$36*F419</f>
        <v>913.5799511523894</v>
      </c>
      <c r="H419" s="18"/>
      <c r="I419" s="25">
        <f>Dimensions!$D$34*A419*A419*A419*0.000000000000000001</f>
        <v>1.6560126982773957E-07</v>
      </c>
      <c r="J419" s="25">
        <f t="shared" si="26"/>
        <v>6.0905330076825965</v>
      </c>
      <c r="K419" s="25">
        <f>Dimensions!$D$37*J419</f>
        <v>913.5799511523893</v>
      </c>
    </row>
    <row r="420" spans="1:11" ht="10.5">
      <c r="A420" s="34">
        <f t="shared" si="27"/>
        <v>411</v>
      </c>
      <c r="B420" s="16"/>
      <c r="C420" s="25">
        <f t="shared" si="24"/>
        <v>1.013526E-06</v>
      </c>
      <c r="D420" s="18"/>
      <c r="E420" s="25">
        <f>Dimensions!$D$33*A420*A420*A420*0.000000000000000001</f>
        <v>1.112106294969112E-07</v>
      </c>
      <c r="F420" s="25">
        <f t="shared" si="25"/>
        <v>9.11357128886812</v>
      </c>
      <c r="G420" s="25">
        <f>Dimensions!$D$36*F420</f>
        <v>911.3571288868121</v>
      </c>
      <c r="H420" s="18"/>
      <c r="I420" s="25">
        <f>Dimensions!$D$34*A420*A420*A420*0.000000000000000001</f>
        <v>1.668159442453668E-07</v>
      </c>
      <c r="J420" s="25">
        <f t="shared" si="26"/>
        <v>6.075714192578747</v>
      </c>
      <c r="K420" s="25">
        <f>Dimensions!$D$37*J420</f>
        <v>911.3571288868119</v>
      </c>
    </row>
    <row r="421" spans="1:11" ht="10.5">
      <c r="A421" s="34">
        <f t="shared" si="27"/>
        <v>412</v>
      </c>
      <c r="B421" s="16"/>
      <c r="C421" s="25">
        <f t="shared" si="24"/>
        <v>1.018464E-06</v>
      </c>
      <c r="D421" s="18"/>
      <c r="E421" s="25">
        <f>Dimensions!$D$33*A421*A421*A421*0.000000000000000001</f>
        <v>1.1202436259488987E-07</v>
      </c>
      <c r="F421" s="25">
        <f t="shared" si="25"/>
        <v>9.091450970205818</v>
      </c>
      <c r="G421" s="25">
        <f>Dimensions!$D$36*F421</f>
        <v>909.1450970205818</v>
      </c>
      <c r="H421" s="18"/>
      <c r="I421" s="25">
        <f>Dimensions!$D$34*A421*A421*A421*0.000000000000000001</f>
        <v>1.6803654389233483E-07</v>
      </c>
      <c r="J421" s="25">
        <f t="shared" si="26"/>
        <v>6.060967313470544</v>
      </c>
      <c r="K421" s="25">
        <f>Dimensions!$D$37*J421</f>
        <v>909.1450970205815</v>
      </c>
    </row>
    <row r="422" spans="1:11" ht="10.5">
      <c r="A422" s="34">
        <f t="shared" si="27"/>
        <v>413</v>
      </c>
      <c r="B422" s="16"/>
      <c r="C422" s="25">
        <f t="shared" si="24"/>
        <v>1.023414E-06</v>
      </c>
      <c r="D422" s="18"/>
      <c r="E422" s="25">
        <f>Dimensions!$D$33*A422*A422*A422*0.000000000000000001</f>
        <v>1.1284205545684E-07</v>
      </c>
      <c r="F422" s="25">
        <f t="shared" si="25"/>
        <v>9.069437771730744</v>
      </c>
      <c r="G422" s="25">
        <f>Dimensions!$D$36*F422</f>
        <v>906.9437771730744</v>
      </c>
      <c r="H422" s="18"/>
      <c r="I422" s="25">
        <f>Dimensions!$D$34*A422*A422*A422*0.000000000000000001</f>
        <v>1.6926308318525998E-07</v>
      </c>
      <c r="J422" s="25">
        <f t="shared" si="26"/>
        <v>6.046291847820497</v>
      </c>
      <c r="K422" s="25">
        <f>Dimensions!$D$37*J422</f>
        <v>906.9437771730743</v>
      </c>
    </row>
    <row r="423" spans="1:11" ht="10.5">
      <c r="A423" s="34">
        <f t="shared" si="27"/>
        <v>414</v>
      </c>
      <c r="B423" s="16"/>
      <c r="C423" s="25">
        <f t="shared" si="24"/>
        <v>1.028376E-06</v>
      </c>
      <c r="D423" s="18"/>
      <c r="E423" s="25">
        <f>Dimensions!$D$33*A423*A423*A423*0.000000000000000001</f>
        <v>1.136637176938392E-07</v>
      </c>
      <c r="F423" s="25">
        <f t="shared" si="25"/>
        <v>9.047530917209652</v>
      </c>
      <c r="G423" s="25">
        <f>Dimensions!$D$36*F423</f>
        <v>904.7530917209652</v>
      </c>
      <c r="H423" s="18"/>
      <c r="I423" s="25">
        <f>Dimensions!$D$34*A423*A423*A423*0.000000000000000001</f>
        <v>1.7049557654075874E-07</v>
      </c>
      <c r="J423" s="25">
        <f t="shared" si="26"/>
        <v>6.031687278139771</v>
      </c>
      <c r="K423" s="25">
        <f>Dimensions!$D$37*J423</f>
        <v>904.7530917209654</v>
      </c>
    </row>
    <row r="424" spans="1:11" ht="10.5">
      <c r="A424" s="34">
        <f t="shared" si="27"/>
        <v>415</v>
      </c>
      <c r="B424" s="16"/>
      <c r="C424" s="25">
        <f t="shared" si="24"/>
        <v>1.03335E-06</v>
      </c>
      <c r="D424" s="18"/>
      <c r="E424" s="25">
        <f>Dimensions!$D$33*A424*A424*A424*0.000000000000000001</f>
        <v>1.1448935891696501E-07</v>
      </c>
      <c r="F424" s="25">
        <f t="shared" si="25"/>
        <v>9.025729637891075</v>
      </c>
      <c r="G424" s="25">
        <f>Dimensions!$D$36*F424</f>
        <v>902.5729637891075</v>
      </c>
      <c r="H424" s="18"/>
      <c r="I424" s="25">
        <f>Dimensions!$D$34*A424*A424*A424*0.000000000000000001</f>
        <v>1.7173403837544749E-07</v>
      </c>
      <c r="J424" s="25">
        <f t="shared" si="26"/>
        <v>6.017153091927385</v>
      </c>
      <c r="K424" s="25">
        <f>Dimensions!$D$37*J424</f>
        <v>902.5729637891076</v>
      </c>
    </row>
    <row r="425" spans="1:11" ht="10.5">
      <c r="A425" s="34">
        <f t="shared" si="27"/>
        <v>416</v>
      </c>
      <c r="B425" s="16"/>
      <c r="C425" s="25">
        <f t="shared" si="24"/>
        <v>1.038336E-06</v>
      </c>
      <c r="D425" s="18"/>
      <c r="E425" s="25">
        <f>Dimensions!$D$33*A425*A425*A425*0.000000000000000001</f>
        <v>1.1531898873729506E-07</v>
      </c>
      <c r="F425" s="25">
        <f t="shared" si="25"/>
        <v>9.004033172415378</v>
      </c>
      <c r="G425" s="25">
        <f>Dimensions!$D$36*F425</f>
        <v>900.4033172415378</v>
      </c>
      <c r="H425" s="18"/>
      <c r="I425" s="25">
        <f>Dimensions!$D$34*A425*A425*A425*0.000000000000000001</f>
        <v>1.7297848310594257E-07</v>
      </c>
      <c r="J425" s="25">
        <f t="shared" si="26"/>
        <v>6.002688781610252</v>
      </c>
      <c r="K425" s="25">
        <f>Dimensions!$D$37*J425</f>
        <v>900.4033172415376</v>
      </c>
    </row>
    <row r="426" spans="1:11" ht="10.5">
      <c r="A426" s="34">
        <f t="shared" si="27"/>
        <v>417</v>
      </c>
      <c r="B426" s="16"/>
      <c r="C426" s="25">
        <f t="shared" si="24"/>
        <v>1.043334E-06</v>
      </c>
      <c r="D426" s="18"/>
      <c r="E426" s="25">
        <f>Dimensions!$D$33*A426*A426*A426*0.000000000000000001</f>
        <v>1.1615261676590696E-07</v>
      </c>
      <c r="F426" s="25">
        <f t="shared" si="25"/>
        <v>8.982440766726132</v>
      </c>
      <c r="G426" s="25">
        <f>Dimensions!$D$36*F426</f>
        <v>898.2440766726132</v>
      </c>
      <c r="H426" s="18"/>
      <c r="I426" s="25">
        <f>Dimensions!$D$34*A426*A426*A426*0.000000000000000001</f>
        <v>1.7422892514886047E-07</v>
      </c>
      <c r="J426" s="25">
        <f t="shared" si="26"/>
        <v>5.988293844484088</v>
      </c>
      <c r="K426" s="25">
        <f>Dimensions!$D$37*J426</f>
        <v>898.244076672613</v>
      </c>
    </row>
    <row r="427" spans="1:11" ht="10.5">
      <c r="A427" s="34">
        <f t="shared" si="27"/>
        <v>418</v>
      </c>
      <c r="B427" s="16"/>
      <c r="C427" s="25">
        <f t="shared" si="24"/>
        <v>1.048344E-06</v>
      </c>
      <c r="D427" s="18"/>
      <c r="E427" s="25">
        <f>Dimensions!$D$33*A427*A427*A427*0.000000000000000001</f>
        <v>1.1699025261387835E-07</v>
      </c>
      <c r="F427" s="25">
        <f t="shared" si="25"/>
        <v>8.960951673982766</v>
      </c>
      <c r="G427" s="25">
        <f>Dimensions!$D$36*F427</f>
        <v>896.0951673982767</v>
      </c>
      <c r="H427" s="18"/>
      <c r="I427" s="25">
        <f>Dimensions!$D$34*A427*A427*A427*0.000000000000000001</f>
        <v>1.7548537892081752E-07</v>
      </c>
      <c r="J427" s="25">
        <f t="shared" si="26"/>
        <v>5.973967782655178</v>
      </c>
      <c r="K427" s="25">
        <f>Dimensions!$D$37*J427</f>
        <v>896.0951673982765</v>
      </c>
    </row>
    <row r="428" spans="1:11" ht="10.5">
      <c r="A428" s="34">
        <f t="shared" si="27"/>
        <v>419</v>
      </c>
      <c r="B428" s="16"/>
      <c r="C428" s="25">
        <f t="shared" si="24"/>
        <v>1.053366E-06</v>
      </c>
      <c r="D428" s="18"/>
      <c r="E428" s="25">
        <f>Dimensions!$D$33*A428*A428*A428*0.000000000000000001</f>
        <v>1.1783190589228675E-07</v>
      </c>
      <c r="F428" s="25">
        <f t="shared" si="25"/>
        <v>8.939565154474456</v>
      </c>
      <c r="G428" s="25">
        <f>Dimensions!$D$36*F428</f>
        <v>893.9565154474457</v>
      </c>
      <c r="H428" s="18"/>
      <c r="I428" s="25">
        <f>Dimensions!$D$34*A428*A428*A428*0.000000000000000001</f>
        <v>1.767478588384301E-07</v>
      </c>
      <c r="J428" s="25">
        <f t="shared" si="26"/>
        <v>5.959710102982973</v>
      </c>
      <c r="K428" s="25">
        <f>Dimensions!$D$37*J428</f>
        <v>893.9565154474458</v>
      </c>
    </row>
    <row r="429" spans="1:11" ht="10.5">
      <c r="A429" s="34">
        <f t="shared" si="27"/>
        <v>420</v>
      </c>
      <c r="B429" s="16"/>
      <c r="C429" s="25">
        <f t="shared" si="24"/>
        <v>1.0584E-06</v>
      </c>
      <c r="D429" s="18"/>
      <c r="E429" s="25">
        <f>Dimensions!$D$33*A429*A429*A429*0.000000000000000001</f>
        <v>1.1867758621220983E-07</v>
      </c>
      <c r="F429" s="25">
        <f t="shared" si="25"/>
        <v>8.91828047553523</v>
      </c>
      <c r="G429" s="25">
        <f>Dimensions!$D$36*F429</f>
        <v>891.828047553523</v>
      </c>
      <c r="H429" s="18"/>
      <c r="I429" s="25">
        <f>Dimensions!$D$34*A429*A429*A429*0.000000000000000001</f>
        <v>1.780163793183147E-07</v>
      </c>
      <c r="J429" s="25">
        <f t="shared" si="26"/>
        <v>5.945520317023488</v>
      </c>
      <c r="K429" s="25">
        <f>Dimensions!$D$37*J429</f>
        <v>891.828047553523</v>
      </c>
    </row>
    <row r="430" spans="1:11" ht="10.5">
      <c r="A430" s="34">
        <f t="shared" si="27"/>
        <v>421</v>
      </c>
      <c r="B430" s="16"/>
      <c r="C430" s="25">
        <f t="shared" si="24"/>
        <v>1.063446E-06</v>
      </c>
      <c r="D430" s="18"/>
      <c r="E430" s="25">
        <f>Dimensions!$D$33*A430*A430*A430*0.000000000000000001</f>
        <v>1.1952730318472512E-07</v>
      </c>
      <c r="F430" s="25">
        <f t="shared" si="25"/>
        <v>8.897096911460327</v>
      </c>
      <c r="G430" s="25">
        <f>Dimensions!$D$36*F430</f>
        <v>889.7096911460327</v>
      </c>
      <c r="H430" s="18"/>
      <c r="I430" s="25">
        <f>Dimensions!$D$34*A430*A430*A430*0.000000000000000001</f>
        <v>1.7929095477708773E-07</v>
      </c>
      <c r="J430" s="25">
        <f t="shared" si="26"/>
        <v>5.93139794097355</v>
      </c>
      <c r="K430" s="25">
        <f>Dimensions!$D$37*J430</f>
        <v>889.7096911460324</v>
      </c>
    </row>
    <row r="431" spans="1:11" ht="10.5">
      <c r="A431" s="34">
        <f t="shared" si="27"/>
        <v>422</v>
      </c>
      <c r="B431" s="16"/>
      <c r="C431" s="25">
        <f t="shared" si="24"/>
        <v>1.068504E-06</v>
      </c>
      <c r="D431" s="18"/>
      <c r="E431" s="25">
        <f>Dimensions!$D$33*A431*A431*A431*0.000000000000000001</f>
        <v>1.203810664209103E-07</v>
      </c>
      <c r="F431" s="25">
        <f t="shared" si="25"/>
        <v>8.87601374342369</v>
      </c>
      <c r="G431" s="25">
        <f>Dimensions!$D$36*F431</f>
        <v>887.6013743423689</v>
      </c>
      <c r="H431" s="18"/>
      <c r="I431" s="25">
        <f>Dimensions!$D$34*A431*A431*A431*0.000000000000000001</f>
        <v>1.8057159963136545E-07</v>
      </c>
      <c r="J431" s="25">
        <f t="shared" si="26"/>
        <v>5.917342495615793</v>
      </c>
      <c r="K431" s="25">
        <f>Dimensions!$D$37*J431</f>
        <v>887.6013743423688</v>
      </c>
    </row>
    <row r="432" spans="1:11" ht="10.5">
      <c r="A432" s="34">
        <f t="shared" si="27"/>
        <v>423</v>
      </c>
      <c r="B432" s="16"/>
      <c r="C432" s="25">
        <f t="shared" si="24"/>
        <v>1.073574E-06</v>
      </c>
      <c r="D432" s="18"/>
      <c r="E432" s="25">
        <f>Dimensions!$D$33*A432*A432*A432*0.000000000000000001</f>
        <v>1.2123888553184293E-07</v>
      </c>
      <c r="F432" s="25">
        <f t="shared" si="25"/>
        <v>8.855030259396683</v>
      </c>
      <c r="G432" s="25">
        <f>Dimensions!$D$36*F432</f>
        <v>885.5030259396683</v>
      </c>
      <c r="H432" s="18"/>
      <c r="I432" s="25">
        <f>Dimensions!$D$34*A432*A432*A432*0.000000000000000001</f>
        <v>1.8185832829776439E-07</v>
      </c>
      <c r="J432" s="25">
        <f t="shared" si="26"/>
        <v>5.903353506264456</v>
      </c>
      <c r="K432" s="25">
        <f>Dimensions!$D$37*J432</f>
        <v>885.5030259396683</v>
      </c>
    </row>
    <row r="433" spans="1:11" ht="10.5">
      <c r="A433" s="34">
        <f t="shared" si="27"/>
        <v>424</v>
      </c>
      <c r="B433" s="16"/>
      <c r="C433" s="25">
        <f t="shared" si="24"/>
        <v>1.078656E-06</v>
      </c>
      <c r="D433" s="18"/>
      <c r="E433" s="25">
        <f>Dimensions!$D$33*A433*A433*A433*0.000000000000000001</f>
        <v>1.2210077012860062E-07</v>
      </c>
      <c r="F433" s="25">
        <f t="shared" si="25"/>
        <v>8.834145754067917</v>
      </c>
      <c r="G433" s="25">
        <f>Dimensions!$D$36*F433</f>
        <v>883.4145754067916</v>
      </c>
      <c r="H433" s="18"/>
      <c r="I433" s="25">
        <f>Dimensions!$D$34*A433*A433*A433*0.000000000000000001</f>
        <v>1.8315115519290093E-07</v>
      </c>
      <c r="J433" s="25">
        <f t="shared" si="26"/>
        <v>5.889430502711945</v>
      </c>
      <c r="K433" s="25">
        <f>Dimensions!$D$37*J433</f>
        <v>883.4145754067915</v>
      </c>
    </row>
    <row r="434" spans="1:11" ht="10.5">
      <c r="A434" s="34">
        <f t="shared" si="27"/>
        <v>425</v>
      </c>
      <c r="B434" s="16"/>
      <c r="C434" s="25">
        <f t="shared" si="24"/>
        <v>1.08375E-06</v>
      </c>
      <c r="D434" s="18"/>
      <c r="E434" s="25">
        <f>Dimensions!$D$33*A434*A434*A434*0.000000000000000001</f>
        <v>1.2296672982226093E-07</v>
      </c>
      <c r="F434" s="25">
        <f t="shared" si="25"/>
        <v>8.81335952876423</v>
      </c>
      <c r="G434" s="25">
        <f>Dimensions!$D$36*F434</f>
        <v>881.3359528764231</v>
      </c>
      <c r="H434" s="18"/>
      <c r="I434" s="25">
        <f>Dimensions!$D$34*A434*A434*A434*0.000000000000000001</f>
        <v>1.8445009473339144E-07</v>
      </c>
      <c r="J434" s="25">
        <f t="shared" si="26"/>
        <v>5.8755730191761515</v>
      </c>
      <c r="K434" s="25">
        <f>Dimensions!$D$37*J434</f>
        <v>881.3359528764225</v>
      </c>
    </row>
    <row r="435" spans="1:11" ht="10.5">
      <c r="A435" s="34">
        <f t="shared" si="27"/>
        <v>426</v>
      </c>
      <c r="B435" s="16"/>
      <c r="C435" s="25">
        <f t="shared" si="24"/>
        <v>1.088856E-06</v>
      </c>
      <c r="D435" s="18"/>
      <c r="E435" s="25">
        <f>Dimensions!$D$33*A435*A435*A435*0.000000000000000001</f>
        <v>1.2383677422390157E-07</v>
      </c>
      <c r="F435" s="25">
        <f t="shared" si="25"/>
        <v>8.792670891372762</v>
      </c>
      <c r="G435" s="25">
        <f>Dimensions!$D$36*F435</f>
        <v>879.2670891372761</v>
      </c>
      <c r="H435" s="18"/>
      <c r="I435" s="25">
        <f>Dimensions!$D$34*A435*A435*A435*0.000000000000000001</f>
        <v>1.8575516133585234E-07</v>
      </c>
      <c r="J435" s="25">
        <f t="shared" si="26"/>
        <v>5.861780594248508</v>
      </c>
      <c r="K435" s="25">
        <f>Dimensions!$D$37*J435</f>
        <v>879.267089137276</v>
      </c>
    </row>
    <row r="436" spans="1:11" ht="10.5">
      <c r="A436" s="34">
        <f t="shared" si="27"/>
        <v>427</v>
      </c>
      <c r="B436" s="16"/>
      <c r="C436" s="25">
        <f t="shared" si="24"/>
        <v>1.093974E-06</v>
      </c>
      <c r="D436" s="18"/>
      <c r="E436" s="25">
        <f>Dimensions!$D$33*A436*A436*A436*0.000000000000000001</f>
        <v>1.2471091294459998E-07</v>
      </c>
      <c r="F436" s="25">
        <f t="shared" si="25"/>
        <v>8.772079156264162</v>
      </c>
      <c r="G436" s="25">
        <f>Dimensions!$D$36*F436</f>
        <v>877.2079156264163</v>
      </c>
      <c r="H436" s="18"/>
      <c r="I436" s="25">
        <f>Dimensions!$D$34*A436*A436*A436*0.000000000000000001</f>
        <v>1.8706636941689999E-07</v>
      </c>
      <c r="J436" s="25">
        <f t="shared" si="26"/>
        <v>5.8480527708427745</v>
      </c>
      <c r="K436" s="25">
        <f>Dimensions!$D$37*J436</f>
        <v>877.207915626416</v>
      </c>
    </row>
    <row r="437" spans="1:11" ht="10.5">
      <c r="A437" s="34">
        <f t="shared" si="27"/>
        <v>428</v>
      </c>
      <c r="B437" s="16"/>
      <c r="C437" s="25">
        <f t="shared" si="24"/>
        <v>1.0991039999999999E-06</v>
      </c>
      <c r="D437" s="18"/>
      <c r="E437" s="25">
        <f>Dimensions!$D$33*A437*A437*A437*0.000000000000000001</f>
        <v>1.255891555954339E-07</v>
      </c>
      <c r="F437" s="25">
        <f t="shared" si="25"/>
        <v>8.751583644216815</v>
      </c>
      <c r="G437" s="25">
        <f>Dimensions!$D$36*F437</f>
        <v>875.1583644216815</v>
      </c>
      <c r="H437" s="18"/>
      <c r="I437" s="25">
        <f>Dimensions!$D$34*A437*A437*A437*0.000000000000000001</f>
        <v>1.8838373339315083E-07</v>
      </c>
      <c r="J437" s="25">
        <f t="shared" si="26"/>
        <v>5.834389096144543</v>
      </c>
      <c r="K437" s="25">
        <f>Dimensions!$D$37*J437</f>
        <v>875.1583644216813</v>
      </c>
    </row>
    <row r="438" spans="1:11" ht="10.5">
      <c r="A438" s="34">
        <f t="shared" si="27"/>
        <v>429</v>
      </c>
      <c r="B438" s="16"/>
      <c r="C438" s="25">
        <f t="shared" si="24"/>
        <v>1.104246E-06</v>
      </c>
      <c r="D438" s="18"/>
      <c r="E438" s="25">
        <f>Dimensions!$D$33*A438*A438*A438*0.000000000000000001</f>
        <v>1.2647151178748084E-07</v>
      </c>
      <c r="F438" s="25">
        <f t="shared" si="25"/>
        <v>8.731183682342184</v>
      </c>
      <c r="G438" s="25">
        <f>Dimensions!$D$36*F438</f>
        <v>873.1183682342185</v>
      </c>
      <c r="H438" s="18"/>
      <c r="I438" s="25">
        <f>Dimensions!$D$34*A438*A438*A438*0.000000000000000001</f>
        <v>1.8970726768122125E-07</v>
      </c>
      <c r="J438" s="25">
        <f t="shared" si="26"/>
        <v>5.8207891215614564</v>
      </c>
      <c r="K438" s="25">
        <f>Dimensions!$D$37*J438</f>
        <v>873.1183682342183</v>
      </c>
    </row>
    <row r="439" spans="1:11" ht="10.5">
      <c r="A439" s="34">
        <f t="shared" si="27"/>
        <v>430</v>
      </c>
      <c r="B439" s="16"/>
      <c r="C439" s="25">
        <f t="shared" si="24"/>
        <v>1.1094E-06</v>
      </c>
      <c r="D439" s="18"/>
      <c r="E439" s="25">
        <f>Dimensions!$D$33*A439*A439*A439*0.000000000000000001</f>
        <v>1.2735799113181843E-07</v>
      </c>
      <c r="F439" s="25">
        <f t="shared" si="25"/>
        <v>8.710878604011157</v>
      </c>
      <c r="G439" s="25">
        <f>Dimensions!$D$36*F439</f>
        <v>871.0878604011157</v>
      </c>
      <c r="H439" s="18"/>
      <c r="I439" s="25">
        <f>Dimensions!$D$34*A439*A439*A439*0.000000000000000001</f>
        <v>1.910369866977277E-07</v>
      </c>
      <c r="J439" s="25">
        <f t="shared" si="26"/>
        <v>5.807252402674104</v>
      </c>
      <c r="K439" s="25">
        <f>Dimensions!$D$37*J439</f>
        <v>871.0878604011154</v>
      </c>
    </row>
    <row r="440" spans="1:11" ht="10.5">
      <c r="A440" s="34">
        <f t="shared" si="27"/>
        <v>431</v>
      </c>
      <c r="B440" s="16"/>
      <c r="C440" s="25">
        <f t="shared" si="24"/>
        <v>1.114566E-06</v>
      </c>
      <c r="D440" s="18"/>
      <c r="E440" s="25">
        <f>Dimensions!$D$33*A440*A440*A440*0.000000000000000001</f>
        <v>1.2824860323952434E-07</v>
      </c>
      <c r="F440" s="25">
        <f t="shared" si="25"/>
        <v>8.690667748781431</v>
      </c>
      <c r="G440" s="25">
        <f>Dimensions!$D$36*F440</f>
        <v>869.0667748781431</v>
      </c>
      <c r="H440" s="18"/>
      <c r="I440" s="25">
        <f>Dimensions!$D$34*A440*A440*A440*0.000000000000000001</f>
        <v>1.923729048592865E-07</v>
      </c>
      <c r="J440" s="25">
        <f t="shared" si="26"/>
        <v>5.7937784991876216</v>
      </c>
      <c r="K440" s="25">
        <f>Dimensions!$D$37*J440</f>
        <v>869.0667748781431</v>
      </c>
    </row>
    <row r="441" spans="1:11" ht="10.5">
      <c r="A441" s="34">
        <f t="shared" si="27"/>
        <v>432</v>
      </c>
      <c r="B441" s="16"/>
      <c r="C441" s="25">
        <f t="shared" si="24"/>
        <v>1.119744E-06</v>
      </c>
      <c r="D441" s="18"/>
      <c r="E441" s="25">
        <f>Dimensions!$D$33*A441*A441*A441*0.000000000000000001</f>
        <v>1.2914335772167607E-07</v>
      </c>
      <c r="F441" s="25">
        <f t="shared" si="25"/>
        <v>8.670550462325918</v>
      </c>
      <c r="G441" s="25">
        <f>Dimensions!$D$36*F441</f>
        <v>867.0550462325918</v>
      </c>
      <c r="H441" s="18"/>
      <c r="I441" s="25">
        <f>Dimensions!$D$34*A441*A441*A441*0.000000000000000001</f>
        <v>1.9371503658251407E-07</v>
      </c>
      <c r="J441" s="25">
        <f t="shared" si="26"/>
        <v>5.780366974883947</v>
      </c>
      <c r="K441" s="25">
        <f>Dimensions!$D$37*J441</f>
        <v>867.0550462325918</v>
      </c>
    </row>
    <row r="442" spans="1:11" ht="10.5">
      <c r="A442" s="34">
        <f t="shared" si="27"/>
        <v>433</v>
      </c>
      <c r="B442" s="16"/>
      <c r="C442" s="25">
        <f t="shared" si="24"/>
        <v>1.124934E-06</v>
      </c>
      <c r="D442" s="18"/>
      <c r="E442" s="25">
        <f>Dimensions!$D$33*A442*A442*A442*0.000000000000000001</f>
        <v>1.3004226418935128E-07</v>
      </c>
      <c r="F442" s="25">
        <f t="shared" si="25"/>
        <v>8.650526096362116</v>
      </c>
      <c r="G442" s="25">
        <f>Dimensions!$D$36*F442</f>
        <v>865.0526096362116</v>
      </c>
      <c r="H442" s="18"/>
      <c r="I442" s="25">
        <f>Dimensions!$D$34*A442*A442*A442*0.000000000000000001</f>
        <v>1.950633962840269E-07</v>
      </c>
      <c r="J442" s="25">
        <f t="shared" si="26"/>
        <v>5.767017397574745</v>
      </c>
      <c r="K442" s="25">
        <f>Dimensions!$D$37*J442</f>
        <v>865.0526096362115</v>
      </c>
    </row>
    <row r="443" spans="1:11" ht="10.5">
      <c r="A443" s="34">
        <f t="shared" si="27"/>
        <v>434</v>
      </c>
      <c r="B443" s="16"/>
      <c r="C443" s="25">
        <f t="shared" si="24"/>
        <v>1.130136E-06</v>
      </c>
      <c r="D443" s="18"/>
      <c r="E443" s="25">
        <f>Dimensions!$D$33*A443*A443*A443*0.000000000000000001</f>
        <v>1.3094533225362752E-07</v>
      </c>
      <c r="F443" s="25">
        <f t="shared" si="25"/>
        <v>8.63059400858248</v>
      </c>
      <c r="G443" s="25">
        <f>Dimensions!$D$36*F443</f>
        <v>863.0594008582481</v>
      </c>
      <c r="H443" s="18"/>
      <c r="I443" s="25">
        <f>Dimensions!$D$34*A443*A443*A443*0.000000000000000001</f>
        <v>1.9641799838044127E-07</v>
      </c>
      <c r="J443" s="25">
        <f t="shared" si="26"/>
        <v>5.7537293390549875</v>
      </c>
      <c r="K443" s="25">
        <f>Dimensions!$D$37*J443</f>
        <v>863.059400858248</v>
      </c>
    </row>
    <row r="444" spans="1:11" ht="10.5">
      <c r="A444" s="34">
        <f t="shared" si="27"/>
        <v>435</v>
      </c>
      <c r="B444" s="16"/>
      <c r="C444" s="25">
        <f t="shared" si="24"/>
        <v>1.13535E-06</v>
      </c>
      <c r="D444" s="18"/>
      <c r="E444" s="25">
        <f>Dimensions!$D$33*A444*A444*A444*0.000000000000000001</f>
        <v>1.3185257152558242E-07</v>
      </c>
      <c r="F444" s="25">
        <f t="shared" si="25"/>
        <v>8.61075356258574</v>
      </c>
      <c r="G444" s="25">
        <f>Dimensions!$D$36*F444</f>
        <v>861.0753562585741</v>
      </c>
      <c r="H444" s="18"/>
      <c r="I444" s="25">
        <f>Dimensions!$D$34*A444*A444*A444*0.000000000000000001</f>
        <v>1.977788572883736E-07</v>
      </c>
      <c r="J444" s="25">
        <f t="shared" si="26"/>
        <v>5.7405023750571615</v>
      </c>
      <c r="K444" s="25">
        <f>Dimensions!$D$37*J444</f>
        <v>861.0753562585741</v>
      </c>
    </row>
    <row r="445" spans="1:11" ht="10.5">
      <c r="A445" s="34">
        <f t="shared" si="27"/>
        <v>436</v>
      </c>
      <c r="B445" s="16"/>
      <c r="C445" s="25">
        <f t="shared" si="24"/>
        <v>1.140576E-06</v>
      </c>
      <c r="D445" s="18"/>
      <c r="E445" s="25">
        <f>Dimensions!$D$33*A445*A445*A445*0.000000000000000001</f>
        <v>1.327639916162936E-07</v>
      </c>
      <c r="F445" s="25">
        <f t="shared" si="25"/>
        <v>8.591004127809166</v>
      </c>
      <c r="G445" s="25">
        <f>Dimensions!$D$36*F445</f>
        <v>859.1004127809166</v>
      </c>
      <c r="H445" s="18"/>
      <c r="I445" s="25">
        <f>Dimensions!$D$34*A445*A445*A445*0.000000000000000001</f>
        <v>1.9914598742444038E-07</v>
      </c>
      <c r="J445" s="25">
        <f t="shared" si="26"/>
        <v>5.727336085206112</v>
      </c>
      <c r="K445" s="25">
        <f>Dimensions!$D$37*J445</f>
        <v>859.1004127809166</v>
      </c>
    </row>
    <row r="446" spans="1:11" ht="10.5">
      <c r="A446" s="34">
        <f t="shared" si="27"/>
        <v>437</v>
      </c>
      <c r="B446" s="16"/>
      <c r="C446" s="25">
        <f t="shared" si="24"/>
        <v>1.145814E-06</v>
      </c>
      <c r="D446" s="18"/>
      <c r="E446" s="25">
        <f>Dimensions!$D$33*A446*A446*A446*0.000000000000000001</f>
        <v>1.3367960213683862E-07</v>
      </c>
      <c r="F446" s="25">
        <f t="shared" si="25"/>
        <v>8.571345079461778</v>
      </c>
      <c r="G446" s="25">
        <f>Dimensions!$D$36*F446</f>
        <v>857.1345079461778</v>
      </c>
      <c r="H446" s="18"/>
      <c r="I446" s="25">
        <f>Dimensions!$D$34*A446*A446*A446*0.000000000000000001</f>
        <v>2.0051940320525792E-07</v>
      </c>
      <c r="J446" s="25">
        <f t="shared" si="26"/>
        <v>5.71423005297452</v>
      </c>
      <c r="K446" s="25">
        <f>Dimensions!$D$37*J446</f>
        <v>857.1345079461778</v>
      </c>
    </row>
    <row r="447" spans="1:11" ht="10.5">
      <c r="A447" s="34">
        <f t="shared" si="27"/>
        <v>438</v>
      </c>
      <c r="B447" s="16"/>
      <c r="C447" s="25">
        <f t="shared" si="24"/>
        <v>1.151064E-06</v>
      </c>
      <c r="D447" s="18"/>
      <c r="E447" s="25">
        <f>Dimensions!$D$33*A447*A447*A447*0.000000000000000001</f>
        <v>1.3459941269829514E-07</v>
      </c>
      <c r="F447" s="25">
        <f t="shared" si="25"/>
        <v>8.55177579845844</v>
      </c>
      <c r="G447" s="25">
        <f>Dimensions!$D$36*F447</f>
        <v>855.177579845844</v>
      </c>
      <c r="H447" s="18"/>
      <c r="I447" s="25">
        <f>Dimensions!$D$34*A447*A447*A447*0.000000000000000001</f>
        <v>2.0189911904744267E-07</v>
      </c>
      <c r="J447" s="25">
        <f t="shared" si="26"/>
        <v>5.701183865638961</v>
      </c>
      <c r="K447" s="25">
        <f>Dimensions!$D$37*J447</f>
        <v>855.177579845844</v>
      </c>
    </row>
    <row r="448" spans="1:11" ht="10.5">
      <c r="A448" s="34">
        <f t="shared" si="27"/>
        <v>439</v>
      </c>
      <c r="B448" s="16"/>
      <c r="C448" s="25">
        <f t="shared" si="24"/>
        <v>1.156326E-06</v>
      </c>
      <c r="D448" s="18"/>
      <c r="E448" s="25">
        <f>Dimensions!$D$33*A448*A448*A448*0.000000000000000001</f>
        <v>1.355234329117407E-07</v>
      </c>
      <c r="F448" s="25">
        <f t="shared" si="25"/>
        <v>8.53229567135489</v>
      </c>
      <c r="G448" s="25">
        <f>Dimensions!$D$36*F448</f>
        <v>853.229567135489</v>
      </c>
      <c r="H448" s="18"/>
      <c r="I448" s="25">
        <f>Dimensions!$D$34*A448*A448*A448*0.000000000000000001</f>
        <v>2.03285149367611E-07</v>
      </c>
      <c r="J448" s="25">
        <f t="shared" si="26"/>
        <v>5.688197114236594</v>
      </c>
      <c r="K448" s="25">
        <f>Dimensions!$D$37*J448</f>
        <v>853.229567135489</v>
      </c>
    </row>
    <row r="449" spans="1:11" ht="10.5">
      <c r="A449" s="34">
        <f t="shared" si="27"/>
        <v>440</v>
      </c>
      <c r="B449" s="16"/>
      <c r="C449" s="25">
        <f t="shared" si="24"/>
        <v>1.1616E-06</v>
      </c>
      <c r="D449" s="18"/>
      <c r="E449" s="25">
        <f>Dimensions!$D$33*A449*A449*A449*0.000000000000000001</f>
        <v>1.3645167238825291E-07</v>
      </c>
      <c r="F449" s="25">
        <f t="shared" si="25"/>
        <v>8.51290409028363</v>
      </c>
      <c r="G449" s="25">
        <f>Dimensions!$D$36*F449</f>
        <v>851.290409028363</v>
      </c>
      <c r="H449" s="18"/>
      <c r="I449" s="25">
        <f>Dimensions!$D$34*A449*A449*A449*0.000000000000000001</f>
        <v>2.0467750858237935E-07</v>
      </c>
      <c r="J449" s="25">
        <f t="shared" si="26"/>
        <v>5.67526939352242</v>
      </c>
      <c r="K449" s="25">
        <f>Dimensions!$D$37*J449</f>
        <v>851.2904090283629</v>
      </c>
    </row>
    <row r="450" spans="1:11" ht="10.5">
      <c r="A450" s="34">
        <f t="shared" si="27"/>
        <v>441</v>
      </c>
      <c r="B450" s="16"/>
      <c r="C450" s="25">
        <f t="shared" si="24"/>
        <v>1.166886E-06</v>
      </c>
      <c r="D450" s="18"/>
      <c r="E450" s="25">
        <f>Dimensions!$D$33*A450*A450*A450*0.000000000000000001</f>
        <v>1.3738414073890942E-07</v>
      </c>
      <c r="F450" s="25">
        <f t="shared" si="25"/>
        <v>8.493600452890695</v>
      </c>
      <c r="G450" s="25">
        <f>Dimensions!$D$36*F450</f>
        <v>849.3600452890695</v>
      </c>
      <c r="H450" s="18"/>
      <c r="I450" s="25">
        <f>Dimensions!$D$34*A450*A450*A450*0.000000000000000001</f>
        <v>2.060762111083641E-07</v>
      </c>
      <c r="J450" s="25">
        <f t="shared" si="26"/>
        <v>5.662400301927131</v>
      </c>
      <c r="K450" s="25">
        <f>Dimensions!$D$37*J450</f>
        <v>849.3600452890695</v>
      </c>
    </row>
    <row r="451" spans="1:11" ht="10.5">
      <c r="A451" s="34">
        <f t="shared" si="27"/>
        <v>442</v>
      </c>
      <c r="B451" s="16"/>
      <c r="C451" s="25">
        <f t="shared" si="24"/>
        <v>1.172184E-06</v>
      </c>
      <c r="D451" s="18"/>
      <c r="E451" s="25">
        <f>Dimensions!$D$33*A451*A451*A451*0.000000000000000001</f>
        <v>1.3832084757478776E-07</v>
      </c>
      <c r="F451" s="25">
        <f t="shared" si="25"/>
        <v>8.474384162273296</v>
      </c>
      <c r="G451" s="25">
        <f>Dimensions!$D$36*F451</f>
        <v>847.4384162273295</v>
      </c>
      <c r="H451" s="18"/>
      <c r="I451" s="25">
        <f>Dimensions!$D$34*A451*A451*A451*0.000000000000000001</f>
        <v>2.0748127136218163E-07</v>
      </c>
      <c r="J451" s="25">
        <f t="shared" si="26"/>
        <v>5.6495894415155306</v>
      </c>
      <c r="K451" s="25">
        <f>Dimensions!$D$37*J451</f>
        <v>847.4384162273294</v>
      </c>
    </row>
    <row r="452" spans="1:11" ht="10.5">
      <c r="A452" s="34">
        <f t="shared" si="27"/>
        <v>443</v>
      </c>
      <c r="B452" s="16"/>
      <c r="C452" s="25">
        <f t="shared" si="24"/>
        <v>1.177494E-06</v>
      </c>
      <c r="D452" s="18"/>
      <c r="E452" s="25">
        <f>Dimensions!$D$33*A452*A452*A452*0.000000000000000001</f>
        <v>1.3926180250696557E-07</v>
      </c>
      <c r="F452" s="25">
        <f t="shared" si="25"/>
        <v>8.455254626918277</v>
      </c>
      <c r="G452" s="25">
        <f>Dimensions!$D$36*F452</f>
        <v>845.5254626918278</v>
      </c>
      <c r="H452" s="18"/>
      <c r="I452" s="25">
        <f>Dimensions!$D$34*A452*A452*A452*0.000000000000000001</f>
        <v>2.0889270376044834E-07</v>
      </c>
      <c r="J452" s="25">
        <f t="shared" si="26"/>
        <v>5.636836417945519</v>
      </c>
      <c r="K452" s="25">
        <f>Dimensions!$D$37*J452</f>
        <v>845.5254626918277</v>
      </c>
    </row>
    <row r="453" spans="1:11" ht="10.5">
      <c r="A453" s="34">
        <f t="shared" si="27"/>
        <v>444</v>
      </c>
      <c r="B453" s="16"/>
      <c r="C453" s="25">
        <f t="shared" si="24"/>
        <v>1.182816E-06</v>
      </c>
      <c r="D453" s="18"/>
      <c r="E453" s="25">
        <f>Dimensions!$D$33*A453*A453*A453*0.000000000000000001</f>
        <v>1.4020701514652045E-07</v>
      </c>
      <c r="F453" s="25">
        <f t="shared" si="25"/>
        <v>8.436211260641434</v>
      </c>
      <c r="G453" s="25">
        <f>Dimensions!$D$36*F453</f>
        <v>843.6211260641434</v>
      </c>
      <c r="H453" s="18"/>
      <c r="I453" s="25">
        <f>Dimensions!$D$34*A453*A453*A453*0.000000000000000001</f>
        <v>2.1031052271978062E-07</v>
      </c>
      <c r="J453" s="25">
        <f t="shared" si="26"/>
        <v>5.624140840427624</v>
      </c>
      <c r="K453" s="25">
        <f>Dimensions!$D$37*J453</f>
        <v>843.6211260641435</v>
      </c>
    </row>
    <row r="454" spans="1:11" ht="10.5">
      <c r="A454" s="34">
        <f t="shared" si="27"/>
        <v>445</v>
      </c>
      <c r="B454" s="16"/>
      <c r="C454" s="25">
        <f t="shared" si="24"/>
        <v>1.18815E-06</v>
      </c>
      <c r="D454" s="18"/>
      <c r="E454" s="25">
        <f>Dimensions!$D$33*A454*A454*A454*0.000000000000000001</f>
        <v>1.4115649510453E-07</v>
      </c>
      <c r="F454" s="25">
        <f t="shared" si="25"/>
        <v>8.417253482527634</v>
      </c>
      <c r="G454" s="25">
        <f>Dimensions!$D$36*F454</f>
        <v>841.7253482527634</v>
      </c>
      <c r="H454" s="18"/>
      <c r="I454" s="25">
        <f>Dimensions!$D$34*A454*A454*A454*0.000000000000000001</f>
        <v>2.1173474265679496E-07</v>
      </c>
      <c r="J454" s="25">
        <f t="shared" si="26"/>
        <v>5.61150232168509</v>
      </c>
      <c r="K454" s="25">
        <f>Dimensions!$D$37*J454</f>
        <v>841.7253482527633</v>
      </c>
    </row>
    <row r="455" spans="1:11" ht="10.5">
      <c r="A455" s="34">
        <f t="shared" si="27"/>
        <v>446</v>
      </c>
      <c r="B455" s="16"/>
      <c r="C455" s="25">
        <f t="shared" si="24"/>
        <v>1.193496E-06</v>
      </c>
      <c r="D455" s="18"/>
      <c r="E455" s="25">
        <f>Dimensions!$D$33*A455*A455*A455*0.000000000000000001</f>
        <v>1.421102519920718E-07</v>
      </c>
      <c r="F455" s="25">
        <f t="shared" si="25"/>
        <v>8.398380716871742</v>
      </c>
      <c r="G455" s="25">
        <f>Dimensions!$D$36*F455</f>
        <v>839.8380716871742</v>
      </c>
      <c r="H455" s="18"/>
      <c r="I455" s="25">
        <f>Dimensions!$D$34*A455*A455*A455*0.000000000000000001</f>
        <v>2.1316537798810767E-07</v>
      </c>
      <c r="J455" s="25">
        <f t="shared" si="26"/>
        <v>5.598920477914496</v>
      </c>
      <c r="K455" s="25">
        <f>Dimensions!$D$37*J455</f>
        <v>839.8380716871743</v>
      </c>
    </row>
    <row r="456" spans="1:11" ht="10.5">
      <c r="A456" s="34">
        <f t="shared" si="27"/>
        <v>447</v>
      </c>
      <c r="B456" s="16"/>
      <c r="C456" s="25">
        <f t="shared" si="24"/>
        <v>1.198854E-06</v>
      </c>
      <c r="D456" s="18"/>
      <c r="E456" s="25">
        <f>Dimensions!$D$33*A456*A456*A456*0.000000000000000001</f>
        <v>1.4306829542022348E-07</v>
      </c>
      <c r="F456" s="25">
        <f t="shared" si="25"/>
        <v>8.379592393120353</v>
      </c>
      <c r="G456" s="25">
        <f>Dimensions!$D$36*F456</f>
        <v>837.9592393120353</v>
      </c>
      <c r="H456" s="18"/>
      <c r="I456" s="25">
        <f>Dimensions!$D$34*A456*A456*A456*0.000000000000000001</f>
        <v>2.1460244313033523E-07</v>
      </c>
      <c r="J456" s="25">
        <f t="shared" si="26"/>
        <v>5.586394928746902</v>
      </c>
      <c r="K456" s="25">
        <f>Dimensions!$D$37*J456</f>
        <v>837.9592393120352</v>
      </c>
    </row>
    <row r="457" spans="1:11" ht="10.5">
      <c r="A457" s="34">
        <f t="shared" si="27"/>
        <v>448</v>
      </c>
      <c r="B457" s="16"/>
      <c r="C457" s="25">
        <f t="shared" si="24"/>
        <v>1.204224E-06</v>
      </c>
      <c r="D457" s="18"/>
      <c r="E457" s="25">
        <f>Dimensions!$D$33*A457*A457*A457*0.000000000000000001</f>
        <v>1.4403063500006265E-07</v>
      </c>
      <c r="F457" s="25">
        <f t="shared" si="25"/>
        <v>8.360887945814278</v>
      </c>
      <c r="G457" s="25">
        <f>Dimensions!$D$36*F457</f>
        <v>836.0887945814278</v>
      </c>
      <c r="H457" s="18"/>
      <c r="I457" s="25">
        <f>Dimensions!$D$34*A457*A457*A457*0.000000000000000001</f>
        <v>2.1604595250009396E-07</v>
      </c>
      <c r="J457" s="25">
        <f t="shared" si="26"/>
        <v>5.57392529720952</v>
      </c>
      <c r="K457" s="25">
        <f>Dimensions!$D$37*J457</f>
        <v>836.0887945814278</v>
      </c>
    </row>
    <row r="458" spans="1:11" ht="10.5">
      <c r="A458" s="34">
        <f t="shared" si="27"/>
        <v>449</v>
      </c>
      <c r="B458" s="16"/>
      <c r="C458" s="25">
        <f t="shared" si="24"/>
        <v>1.209606E-06</v>
      </c>
      <c r="D458" s="18"/>
      <c r="E458" s="25">
        <f>Dimensions!$D$33*A458*A458*A458*0.000000000000000001</f>
        <v>1.4499728034266688E-07</v>
      </c>
      <c r="F458" s="25">
        <f t="shared" si="25"/>
        <v>8.342266814531841</v>
      </c>
      <c r="G458" s="25">
        <f>Dimensions!$D$36*F458</f>
        <v>834.2266814531841</v>
      </c>
      <c r="H458" s="18"/>
      <c r="I458" s="25">
        <f>Dimensions!$D$34*A458*A458*A458*0.000000000000000001</f>
        <v>2.174959205140003E-07</v>
      </c>
      <c r="J458" s="25">
        <f t="shared" si="26"/>
        <v>5.561511209687895</v>
      </c>
      <c r="K458" s="25">
        <f>Dimensions!$D$37*J458</f>
        <v>834.226681453184</v>
      </c>
    </row>
    <row r="459" spans="1:11" ht="10.5">
      <c r="A459" s="34">
        <f t="shared" si="27"/>
        <v>450</v>
      </c>
      <c r="B459" s="16"/>
      <c r="C459" s="25">
        <f aca="true" t="shared" si="28" ref="C459:C509">6*A459*A459*0.000000000001</f>
        <v>1.215E-06</v>
      </c>
      <c r="D459" s="18"/>
      <c r="E459" s="25">
        <f>Dimensions!$D$33*A459*A459*A459*0.000000000000000001</f>
        <v>1.4596824105911377E-07</v>
      </c>
      <c r="F459" s="25">
        <f aca="true" t="shared" si="29" ref="F459:F509">C459/E459</f>
        <v>8.323728443832882</v>
      </c>
      <c r="G459" s="25">
        <f>Dimensions!$D$36*F459</f>
        <v>832.3728443832882</v>
      </c>
      <c r="H459" s="18"/>
      <c r="I459" s="25">
        <f>Dimensions!$D$34*A459*A459*A459*0.000000000000000001</f>
        <v>2.1895236158867064E-07</v>
      </c>
      <c r="J459" s="25">
        <f aca="true" t="shared" si="30" ref="J459:J509">C459/I459</f>
        <v>5.549152295888589</v>
      </c>
      <c r="K459" s="25">
        <f>Dimensions!$D$37*J459</f>
        <v>832.3728443832881</v>
      </c>
    </row>
    <row r="460" spans="1:11" ht="10.5">
      <c r="A460" s="34">
        <f aca="true" t="shared" si="31" ref="A460:A509">A459+1</f>
        <v>451</v>
      </c>
      <c r="B460" s="16"/>
      <c r="C460" s="25">
        <f t="shared" si="28"/>
        <v>1.220406E-06</v>
      </c>
      <c r="D460" s="18"/>
      <c r="E460" s="25">
        <f>Dimensions!$D$33*A460*A460*A460*0.000000000000000001</f>
        <v>1.469435267604809E-07</v>
      </c>
      <c r="F460" s="25">
        <f t="shared" si="29"/>
        <v>8.305272283203543</v>
      </c>
      <c r="G460" s="25">
        <f>Dimensions!$D$36*F460</f>
        <v>830.5272283203543</v>
      </c>
      <c r="H460" s="18"/>
      <c r="I460" s="25">
        <f>Dimensions!$D$34*A460*A460*A460*0.000000000000000001</f>
        <v>2.204152901407214E-07</v>
      </c>
      <c r="J460" s="25">
        <f t="shared" si="30"/>
        <v>5.53684818880236</v>
      </c>
      <c r="K460" s="25">
        <f>Dimensions!$D$37*J460</f>
        <v>830.5272283203539</v>
      </c>
    </row>
    <row r="461" spans="1:11" ht="10.5">
      <c r="A461" s="34">
        <f t="shared" si="31"/>
        <v>452</v>
      </c>
      <c r="B461" s="16"/>
      <c r="C461" s="25">
        <f t="shared" si="28"/>
        <v>1.225824E-06</v>
      </c>
      <c r="D461" s="18"/>
      <c r="E461" s="25">
        <f>Dimensions!$D$33*A461*A461*A461*0.000000000000000001</f>
        <v>1.4792314705784597E-07</v>
      </c>
      <c r="F461" s="25">
        <f t="shared" si="29"/>
        <v>8.286897787001763</v>
      </c>
      <c r="G461" s="25">
        <f>Dimensions!$D$36*F461</f>
        <v>828.6897787001762</v>
      </c>
      <c r="H461" s="18"/>
      <c r="I461" s="25">
        <f>Dimensions!$D$34*A461*A461*A461*0.000000000000000001</f>
        <v>2.2188472058676894E-07</v>
      </c>
      <c r="J461" s="25">
        <f t="shared" si="30"/>
        <v>5.524598524667842</v>
      </c>
      <c r="K461" s="25">
        <f>Dimensions!$D$37*J461</f>
        <v>828.6897787001761</v>
      </c>
    </row>
    <row r="462" spans="1:11" ht="10.5">
      <c r="A462" s="34">
        <f t="shared" si="31"/>
        <v>453</v>
      </c>
      <c r="B462" s="16"/>
      <c r="C462" s="25">
        <f t="shared" si="28"/>
        <v>1.231254E-06</v>
      </c>
      <c r="D462" s="18"/>
      <c r="E462" s="25">
        <f>Dimensions!$D$33*A462*A462*A462*0.000000000000000001</f>
        <v>1.4890711156228644E-07</v>
      </c>
      <c r="F462" s="25">
        <f t="shared" si="29"/>
        <v>8.268604414403526</v>
      </c>
      <c r="G462" s="25">
        <f>Dimensions!$D$36*F462</f>
        <v>826.8604414403526</v>
      </c>
      <c r="H462" s="18"/>
      <c r="I462" s="25">
        <f>Dimensions!$D$34*A462*A462*A462*0.000000000000000001</f>
        <v>2.2336066734342963E-07</v>
      </c>
      <c r="J462" s="25">
        <f t="shared" si="30"/>
        <v>5.512402942935685</v>
      </c>
      <c r="K462" s="25">
        <f>Dimensions!$D$37*J462</f>
        <v>826.8604414403526</v>
      </c>
    </row>
    <row r="463" spans="1:11" ht="10.5">
      <c r="A463" s="34">
        <f t="shared" si="31"/>
        <v>454</v>
      </c>
      <c r="B463" s="16"/>
      <c r="C463" s="25">
        <f t="shared" si="28"/>
        <v>1.236696E-06</v>
      </c>
      <c r="D463" s="18"/>
      <c r="E463" s="25">
        <f>Dimensions!$D$33*A463*A463*A463*0.000000000000000001</f>
        <v>1.4989542988488002E-07</v>
      </c>
      <c r="F463" s="25">
        <f t="shared" si="29"/>
        <v>8.250391629349775</v>
      </c>
      <c r="G463" s="25">
        <f>Dimensions!$D$36*F463</f>
        <v>825.0391629349774</v>
      </c>
      <c r="H463" s="18"/>
      <c r="I463" s="25">
        <f>Dimensions!$D$34*A463*A463*A463*0.000000000000000001</f>
        <v>2.2484314482732E-07</v>
      </c>
      <c r="J463" s="25">
        <f t="shared" si="30"/>
        <v>5.500261086233183</v>
      </c>
      <c r="K463" s="25">
        <f>Dimensions!$D$37*J463</f>
        <v>825.0391629349773</v>
      </c>
    </row>
    <row r="464" spans="1:11" ht="10.5">
      <c r="A464" s="34">
        <f t="shared" si="31"/>
        <v>455</v>
      </c>
      <c r="B464" s="16"/>
      <c r="C464" s="25">
        <f t="shared" si="28"/>
        <v>1.24215E-06</v>
      </c>
      <c r="D464" s="18"/>
      <c r="E464" s="25">
        <f>Dimensions!$D$33*A464*A464*A464*0.000000000000000001</f>
        <v>1.5088811163670426E-07</v>
      </c>
      <c r="F464" s="25">
        <f t="shared" si="29"/>
        <v>8.23225890049406</v>
      </c>
      <c r="G464" s="25">
        <f>Dimensions!$D$36*F464</f>
        <v>823.225890049406</v>
      </c>
      <c r="H464" s="18"/>
      <c r="I464" s="25">
        <f>Dimensions!$D$34*A464*A464*A464*0.000000000000000001</f>
        <v>2.2633216745505637E-07</v>
      </c>
      <c r="J464" s="25">
        <f t="shared" si="30"/>
        <v>5.488172600329374</v>
      </c>
      <c r="K464" s="25">
        <f>Dimensions!$D$37*J464</f>
        <v>823.225890049406</v>
      </c>
    </row>
    <row r="465" spans="1:11" ht="10.5">
      <c r="A465" s="34">
        <f t="shared" si="31"/>
        <v>456</v>
      </c>
      <c r="B465" s="16"/>
      <c r="C465" s="25">
        <f t="shared" si="28"/>
        <v>1.247616E-06</v>
      </c>
      <c r="D465" s="18"/>
      <c r="E465" s="25">
        <f>Dimensions!$D$33*A465*A465*A465*0.000000000000000001</f>
        <v>1.518851664288368E-07</v>
      </c>
      <c r="F465" s="25">
        <f t="shared" si="29"/>
        <v>8.21420570115087</v>
      </c>
      <c r="G465" s="25">
        <f>Dimensions!$D$36*F465</f>
        <v>821.420570115087</v>
      </c>
      <c r="H465" s="18"/>
      <c r="I465" s="25">
        <f>Dimensions!$D$34*A465*A465*A465*0.000000000000000001</f>
        <v>2.2782774964325517E-07</v>
      </c>
      <c r="J465" s="25">
        <f t="shared" si="30"/>
        <v>5.476137134100581</v>
      </c>
      <c r="K465" s="25">
        <f>Dimensions!$D$37*J465</f>
        <v>821.420570115087</v>
      </c>
    </row>
    <row r="466" spans="1:11" ht="10.5">
      <c r="A466" s="34">
        <f t="shared" si="31"/>
        <v>457</v>
      </c>
      <c r="B466" s="16"/>
      <c r="C466" s="25">
        <f t="shared" si="28"/>
        <v>1.253094E-06</v>
      </c>
      <c r="D466" s="18"/>
      <c r="E466" s="25">
        <f>Dimensions!$D$33*A466*A466*A466*0.000000000000000001</f>
        <v>1.528866038723552E-07</v>
      </c>
      <c r="F466" s="25">
        <f t="shared" si="29"/>
        <v>8.196231509244631</v>
      </c>
      <c r="G466" s="25">
        <f>Dimensions!$D$36*F466</f>
        <v>819.6231509244632</v>
      </c>
      <c r="H466" s="18"/>
      <c r="I466" s="25">
        <f>Dimensions!$D$34*A466*A466*A466*0.000000000000000001</f>
        <v>2.2932990580853276E-07</v>
      </c>
      <c r="J466" s="25">
        <f t="shared" si="30"/>
        <v>5.464154339496422</v>
      </c>
      <c r="K466" s="25">
        <f>Dimensions!$D$37*J466</f>
        <v>819.6231509244631</v>
      </c>
    </row>
    <row r="467" spans="1:11" ht="10.5">
      <c r="A467" s="34">
        <f t="shared" si="31"/>
        <v>458</v>
      </c>
      <c r="B467" s="16"/>
      <c r="C467" s="25">
        <f t="shared" si="28"/>
        <v>1.2585839999999999E-06</v>
      </c>
      <c r="D467" s="18"/>
      <c r="E467" s="25">
        <f>Dimensions!$D$33*A467*A467*A467*0.000000000000000001</f>
        <v>1.5389243357833704E-07</v>
      </c>
      <c r="F467" s="25">
        <f t="shared" si="29"/>
        <v>8.178335807259382</v>
      </c>
      <c r="G467" s="25">
        <f>Dimensions!$D$36*F467</f>
        <v>817.8335807259382</v>
      </c>
      <c r="H467" s="18"/>
      <c r="I467" s="25">
        <f>Dimensions!$D$34*A467*A467*A467*0.000000000000000001</f>
        <v>2.3083865036750557E-07</v>
      </c>
      <c r="J467" s="25">
        <f t="shared" si="30"/>
        <v>5.452223871506255</v>
      </c>
      <c r="K467" s="25">
        <f>Dimensions!$D$37*J467</f>
        <v>817.8335807259381</v>
      </c>
    </row>
    <row r="468" spans="1:11" ht="10.5">
      <c r="A468" s="34">
        <f t="shared" si="31"/>
        <v>459</v>
      </c>
      <c r="B468" s="16"/>
      <c r="C468" s="25">
        <f t="shared" si="28"/>
        <v>1.264086E-06</v>
      </c>
      <c r="D468" s="18"/>
      <c r="E468" s="25">
        <f>Dimensions!$D$33*A468*A468*A468*0.000000000000000001</f>
        <v>1.5490266515786E-07</v>
      </c>
      <c r="F468" s="25">
        <f t="shared" si="29"/>
        <v>8.1605180821891</v>
      </c>
      <c r="G468" s="25">
        <f>Dimensions!$D$36*F468</f>
        <v>816.05180821891</v>
      </c>
      <c r="H468" s="18"/>
      <c r="I468" s="25">
        <f>Dimensions!$D$34*A468*A468*A468*0.000000000000000001</f>
        <v>2.3235399773679E-07</v>
      </c>
      <c r="J468" s="25">
        <f t="shared" si="30"/>
        <v>5.440345388126066</v>
      </c>
      <c r="K468" s="25">
        <f>Dimensions!$D$37*J468</f>
        <v>816.0518082189097</v>
      </c>
    </row>
    <row r="469" spans="1:11" ht="10.5">
      <c r="A469" s="34">
        <f t="shared" si="31"/>
        <v>460</v>
      </c>
      <c r="B469" s="16"/>
      <c r="C469" s="25">
        <f t="shared" si="28"/>
        <v>1.2695999999999999E-06</v>
      </c>
      <c r="D469" s="18"/>
      <c r="E469" s="25">
        <f>Dimensions!$D$33*A469*A469*A469*0.000000000000000001</f>
        <v>1.559173082220016E-07</v>
      </c>
      <c r="F469" s="25">
        <f t="shared" si="29"/>
        <v>8.14277782548869</v>
      </c>
      <c r="G469" s="25">
        <f>Dimensions!$D$36*F469</f>
        <v>814.2777825488689</v>
      </c>
      <c r="H469" s="18"/>
      <c r="I469" s="25">
        <f>Dimensions!$D$34*A469*A469*A469*0.000000000000000001</f>
        <v>2.3387596233300236E-07</v>
      </c>
      <c r="J469" s="25">
        <f t="shared" si="30"/>
        <v>5.428518550325793</v>
      </c>
      <c r="K469" s="25">
        <f>Dimensions!$D$37*J469</f>
        <v>814.2777825488688</v>
      </c>
    </row>
    <row r="470" spans="1:11" ht="10.5">
      <c r="A470" s="34">
        <f t="shared" si="31"/>
        <v>461</v>
      </c>
      <c r="B470" s="16"/>
      <c r="C470" s="25">
        <f t="shared" si="28"/>
        <v>1.275126E-06</v>
      </c>
      <c r="D470" s="18"/>
      <c r="E470" s="25">
        <f>Dimensions!$D$33*A470*A470*A470*0.000000000000000001</f>
        <v>1.5693637238183948E-07</v>
      </c>
      <c r="F470" s="25">
        <f t="shared" si="29"/>
        <v>8.125114533025592</v>
      </c>
      <c r="G470" s="25">
        <f>Dimensions!$D$36*F470</f>
        <v>812.5114533025592</v>
      </c>
      <c r="H470" s="18"/>
      <c r="I470" s="25">
        <f>Dimensions!$D$34*A470*A470*A470*0.000000000000000001</f>
        <v>2.354045585727592E-07</v>
      </c>
      <c r="J470" s="25">
        <f t="shared" si="30"/>
        <v>5.416743022017061</v>
      </c>
      <c r="K470" s="25">
        <f>Dimensions!$D$37*J470</f>
        <v>812.5114533025591</v>
      </c>
    </row>
    <row r="471" spans="1:11" ht="10.5">
      <c r="A471" s="34">
        <f t="shared" si="31"/>
        <v>462</v>
      </c>
      <c r="B471" s="16"/>
      <c r="C471" s="25">
        <f t="shared" si="28"/>
        <v>1.280664E-06</v>
      </c>
      <c r="D471" s="18"/>
      <c r="E471" s="25">
        <f>Dimensions!$D$33*A471*A471*A471*0.000000000000000001</f>
        <v>1.5795986724845127E-07</v>
      </c>
      <c r="F471" s="25">
        <f t="shared" si="29"/>
        <v>8.107527705032028</v>
      </c>
      <c r="G471" s="25">
        <f>Dimensions!$D$36*F471</f>
        <v>810.7527705032029</v>
      </c>
      <c r="H471" s="18"/>
      <c r="I471" s="25">
        <f>Dimensions!$D$34*A471*A471*A471*0.000000000000000001</f>
        <v>2.369398008726769E-07</v>
      </c>
      <c r="J471" s="25">
        <f t="shared" si="30"/>
        <v>5.405018470021353</v>
      </c>
      <c r="K471" s="25">
        <f>Dimensions!$D$37*J471</f>
        <v>810.7527705032028</v>
      </c>
    </row>
    <row r="472" spans="1:11" ht="10.5">
      <c r="A472" s="34">
        <f t="shared" si="31"/>
        <v>463</v>
      </c>
      <c r="B472" s="16"/>
      <c r="C472" s="25">
        <f t="shared" si="28"/>
        <v>1.286214E-06</v>
      </c>
      <c r="D472" s="18"/>
      <c r="E472" s="25">
        <f>Dimensions!$D$33*A472*A472*A472*0.000000000000000001</f>
        <v>1.5898780243291453E-07</v>
      </c>
      <c r="F472" s="25">
        <f t="shared" si="29"/>
        <v>8.090016846057877</v>
      </c>
      <c r="G472" s="25">
        <f>Dimensions!$D$36*F472</f>
        <v>809.0016846057877</v>
      </c>
      <c r="H472" s="18"/>
      <c r="I472" s="25">
        <f>Dimensions!$D$34*A472*A472*A472*0.000000000000000001</f>
        <v>2.3848170364937176E-07</v>
      </c>
      <c r="J472" s="25">
        <f t="shared" si="30"/>
        <v>5.3933445640385855</v>
      </c>
      <c r="K472" s="25">
        <f>Dimensions!$D$37*J472</f>
        <v>809.0016846057877</v>
      </c>
    </row>
    <row r="473" spans="1:11" ht="10.5">
      <c r="A473" s="34">
        <f t="shared" si="31"/>
        <v>464</v>
      </c>
      <c r="B473" s="16"/>
      <c r="C473" s="25">
        <f t="shared" si="28"/>
        <v>1.291776E-06</v>
      </c>
      <c r="D473" s="18"/>
      <c r="E473" s="25">
        <f>Dimensions!$D$33*A473*A473*A473*0.000000000000000001</f>
        <v>1.6002018754630683E-07</v>
      </c>
      <c r="F473" s="25">
        <f t="shared" si="29"/>
        <v>8.072581464924133</v>
      </c>
      <c r="G473" s="25">
        <f>Dimensions!$D$36*F473</f>
        <v>807.2581464924133</v>
      </c>
      <c r="H473" s="18"/>
      <c r="I473" s="25">
        <f>Dimensions!$D$34*A473*A473*A473*0.000000000000000001</f>
        <v>2.4003028131946025E-07</v>
      </c>
      <c r="J473" s="25">
        <f t="shared" si="30"/>
        <v>5.381720976616088</v>
      </c>
      <c r="K473" s="25">
        <f>Dimensions!$D$37*J473</f>
        <v>807.2581464924131</v>
      </c>
    </row>
    <row r="474" spans="1:11" ht="10.5">
      <c r="A474" s="34">
        <f t="shared" si="31"/>
        <v>465</v>
      </c>
      <c r="B474" s="16"/>
      <c r="C474" s="25">
        <f t="shared" si="28"/>
        <v>1.29735E-06</v>
      </c>
      <c r="D474" s="18"/>
      <c r="E474" s="25">
        <f>Dimensions!$D$33*A474*A474*A474*0.000000000000000001</f>
        <v>1.6105703219970585E-07</v>
      </c>
      <c r="F474" s="25">
        <f t="shared" si="29"/>
        <v>8.055221074676982</v>
      </c>
      <c r="G474" s="25">
        <f>Dimensions!$D$36*F474</f>
        <v>805.5221074676982</v>
      </c>
      <c r="H474" s="18"/>
      <c r="I474" s="25">
        <f>Dimensions!$D$34*A474*A474*A474*0.000000000000000001</f>
        <v>2.4158554829955874E-07</v>
      </c>
      <c r="J474" s="25">
        <f t="shared" si="30"/>
        <v>5.370147383117989</v>
      </c>
      <c r="K474" s="25">
        <f>Dimensions!$D$37*J474</f>
        <v>805.5221074676982</v>
      </c>
    </row>
    <row r="475" spans="1:11" ht="10.5">
      <c r="A475" s="34">
        <f t="shared" si="31"/>
        <v>466</v>
      </c>
      <c r="B475" s="16"/>
      <c r="C475" s="25">
        <f t="shared" si="28"/>
        <v>1.302936E-06</v>
      </c>
      <c r="D475" s="18"/>
      <c r="E475" s="25">
        <f>Dimensions!$D$33*A475*A475*A475*0.000000000000000001</f>
        <v>1.6209834600418912E-07</v>
      </c>
      <c r="F475" s="25">
        <f t="shared" si="29"/>
        <v>8.037935192542484</v>
      </c>
      <c r="G475" s="25">
        <f>Dimensions!$D$36*F475</f>
        <v>803.7935192542484</v>
      </c>
      <c r="H475" s="18"/>
      <c r="I475" s="25">
        <f>Dimensions!$D$34*A475*A475*A475*0.000000000000000001</f>
        <v>2.431475190062837E-07</v>
      </c>
      <c r="J475" s="25">
        <f t="shared" si="30"/>
        <v>5.358623461694989</v>
      </c>
      <c r="K475" s="25">
        <f>Dimensions!$D$37*J475</f>
        <v>803.7935192542482</v>
      </c>
    </row>
    <row r="476" spans="1:11" ht="10.5">
      <c r="A476" s="34">
        <f t="shared" si="31"/>
        <v>467</v>
      </c>
      <c r="B476" s="16"/>
      <c r="C476" s="25">
        <f t="shared" si="28"/>
        <v>1.308534E-06</v>
      </c>
      <c r="D476" s="18"/>
      <c r="E476" s="25">
        <f>Dimensions!$D$33*A476*A476*A476*0.000000000000000001</f>
        <v>1.6314413857083426E-07</v>
      </c>
      <c r="F476" s="25">
        <f t="shared" si="29"/>
        <v>8.020723339881794</v>
      </c>
      <c r="G476" s="25">
        <f>Dimensions!$D$36*F476</f>
        <v>802.0723339881794</v>
      </c>
      <c r="H476" s="18"/>
      <c r="I476" s="25">
        <f>Dimensions!$D$34*A476*A476*A476*0.000000000000000001</f>
        <v>2.4471620785625146E-07</v>
      </c>
      <c r="J476" s="25">
        <f t="shared" si="30"/>
        <v>5.347148893254528</v>
      </c>
      <c r="K476" s="25">
        <f>Dimensions!$D$37*J476</f>
        <v>802.072333988179</v>
      </c>
    </row>
    <row r="477" spans="1:11" ht="10.5">
      <c r="A477" s="34">
        <f t="shared" si="31"/>
        <v>468</v>
      </c>
      <c r="B477" s="16"/>
      <c r="C477" s="25">
        <f t="shared" si="28"/>
        <v>1.314144E-06</v>
      </c>
      <c r="D477" s="18"/>
      <c r="E477" s="25">
        <f>Dimensions!$D$33*A477*A477*A477*0.000000000000000001</f>
        <v>1.6419441951071894E-07</v>
      </c>
      <c r="F477" s="25">
        <f t="shared" si="29"/>
        <v>8.003585042147002</v>
      </c>
      <c r="G477" s="25">
        <f>Dimensions!$D$36*F477</f>
        <v>800.3585042147001</v>
      </c>
      <c r="H477" s="18"/>
      <c r="I477" s="25">
        <f>Dimensions!$D$34*A477*A477*A477*0.000000000000000001</f>
        <v>2.462916292660784E-07</v>
      </c>
      <c r="J477" s="25">
        <f t="shared" si="30"/>
        <v>5.335723361431335</v>
      </c>
      <c r="K477" s="25">
        <f>Dimensions!$D$37*J477</f>
        <v>800.3585042147001</v>
      </c>
    </row>
    <row r="478" spans="1:11" ht="10.5">
      <c r="A478" s="34">
        <f t="shared" si="31"/>
        <v>469</v>
      </c>
      <c r="B478" s="16"/>
      <c r="C478" s="25">
        <f t="shared" si="28"/>
        <v>1.319766E-06</v>
      </c>
      <c r="D478" s="18"/>
      <c r="E478" s="25">
        <f>Dimensions!$D$33*A478*A478*A478*0.000000000000000001</f>
        <v>1.6524919843492066E-07</v>
      </c>
      <c r="F478" s="25">
        <f t="shared" si="29"/>
        <v>7.98651982883752</v>
      </c>
      <c r="G478" s="25">
        <f>Dimensions!$D$36*F478</f>
        <v>798.651982883752</v>
      </c>
      <c r="H478" s="18"/>
      <c r="I478" s="25">
        <f>Dimensions!$D$34*A478*A478*A478*0.000000000000000001</f>
        <v>2.47873797652381E-07</v>
      </c>
      <c r="J478" s="25">
        <f t="shared" si="30"/>
        <v>5.324346552558347</v>
      </c>
      <c r="K478" s="25">
        <f>Dimensions!$D$37*J478</f>
        <v>798.6519828837519</v>
      </c>
    </row>
    <row r="479" spans="1:11" ht="10.5">
      <c r="A479" s="34">
        <f t="shared" si="31"/>
        <v>470</v>
      </c>
      <c r="B479" s="16"/>
      <c r="C479" s="25">
        <f t="shared" si="28"/>
        <v>1.3254E-06</v>
      </c>
      <c r="D479" s="18"/>
      <c r="E479" s="25">
        <f>Dimensions!$D$33*A479*A479*A479*0.000000000000000001</f>
        <v>1.6630848495451708E-07</v>
      </c>
      <c r="F479" s="25">
        <f t="shared" si="29"/>
        <v>7.969527233457015</v>
      </c>
      <c r="G479" s="25">
        <f>Dimensions!$D$36*F479</f>
        <v>796.9527233457015</v>
      </c>
      <c r="H479" s="18"/>
      <c r="I479" s="25">
        <f>Dimensions!$D$34*A479*A479*A479*0.000000000000000001</f>
        <v>2.494627274317756E-07</v>
      </c>
      <c r="J479" s="25">
        <f t="shared" si="30"/>
        <v>5.3130181556380105</v>
      </c>
      <c r="K479" s="25">
        <f>Dimensions!$D$37*J479</f>
        <v>796.9527233457014</v>
      </c>
    </row>
    <row r="480" spans="1:11" ht="10.5">
      <c r="A480" s="34">
        <f t="shared" si="31"/>
        <v>471</v>
      </c>
      <c r="B480" s="16"/>
      <c r="C480" s="25">
        <f t="shared" si="28"/>
        <v>1.331046E-06</v>
      </c>
      <c r="D480" s="18"/>
      <c r="E480" s="25">
        <f>Dimensions!$D$33*A480*A480*A480*0.000000000000000001</f>
        <v>1.6737228868058577E-07</v>
      </c>
      <c r="F480" s="25">
        <f t="shared" si="29"/>
        <v>7.952606793470906</v>
      </c>
      <c r="G480" s="25">
        <f>Dimensions!$D$36*F480</f>
        <v>795.2606793470907</v>
      </c>
      <c r="H480" s="18"/>
      <c r="I480" s="25">
        <f>Dimensions!$D$34*A480*A480*A480*0.000000000000000001</f>
        <v>2.5105843302087863E-07</v>
      </c>
      <c r="J480" s="25">
        <f t="shared" si="30"/>
        <v>5.301737862313938</v>
      </c>
      <c r="K480" s="25">
        <f>Dimensions!$D$37*J480</f>
        <v>795.2606793470906</v>
      </c>
    </row>
    <row r="481" spans="1:11" ht="10.5">
      <c r="A481" s="34">
        <f t="shared" si="31"/>
        <v>472</v>
      </c>
      <c r="B481" s="16"/>
      <c r="C481" s="25">
        <f t="shared" si="28"/>
        <v>1.336704E-06</v>
      </c>
      <c r="D481" s="18"/>
      <c r="E481" s="25">
        <f>Dimensions!$D$33*A481*A481*A481*0.000000000000000001</f>
        <v>1.684406192242043E-07</v>
      </c>
      <c r="F481" s="25">
        <f t="shared" si="29"/>
        <v>7.935758050264402</v>
      </c>
      <c r="G481" s="25">
        <f>Dimensions!$D$36*F481</f>
        <v>793.5758050264402</v>
      </c>
      <c r="H481" s="18"/>
      <c r="I481" s="25">
        <f>Dimensions!$D$34*A481*A481*A481*0.000000000000000001</f>
        <v>2.5266092883630646E-07</v>
      </c>
      <c r="J481" s="25">
        <f t="shared" si="30"/>
        <v>5.290505366842934</v>
      </c>
      <c r="K481" s="25">
        <f>Dimensions!$D$37*J481</f>
        <v>793.57580502644</v>
      </c>
    </row>
    <row r="482" spans="1:11" ht="10.5">
      <c r="A482" s="34">
        <f t="shared" si="31"/>
        <v>473</v>
      </c>
      <c r="B482" s="16"/>
      <c r="C482" s="25">
        <f t="shared" si="28"/>
        <v>1.342374E-06</v>
      </c>
      <c r="D482" s="18"/>
      <c r="E482" s="25">
        <f>Dimensions!$D$33*A482*A482*A482*0.000000000000000001</f>
        <v>1.6951348619645037E-07</v>
      </c>
      <c r="F482" s="25">
        <f t="shared" si="29"/>
        <v>7.918980549101051</v>
      </c>
      <c r="G482" s="25">
        <f>Dimensions!$D$36*F482</f>
        <v>791.8980549101051</v>
      </c>
      <c r="H482" s="18"/>
      <c r="I482" s="25">
        <f>Dimensions!$D$34*A482*A482*A482*0.000000000000000001</f>
        <v>2.542702292946756E-07</v>
      </c>
      <c r="J482" s="25">
        <f t="shared" si="30"/>
        <v>5.279320366067366</v>
      </c>
      <c r="K482" s="25">
        <f>Dimensions!$D$37*J482</f>
        <v>791.8980549101047</v>
      </c>
    </row>
    <row r="483" spans="1:11" ht="10.5">
      <c r="A483" s="34">
        <f t="shared" si="31"/>
        <v>474</v>
      </c>
      <c r="B483" s="16"/>
      <c r="C483" s="25">
        <f t="shared" si="28"/>
        <v>1.348056E-06</v>
      </c>
      <c r="D483" s="18"/>
      <c r="E483" s="25">
        <f>Dimensions!$D$33*A483*A483*A483*0.000000000000000001</f>
        <v>1.7059089920840152E-07</v>
      </c>
      <c r="F483" s="25">
        <f t="shared" si="29"/>
        <v>7.902273839081849</v>
      </c>
      <c r="G483" s="25">
        <f>Dimensions!$D$36*F483</f>
        <v>790.227383908185</v>
      </c>
      <c r="H483" s="18"/>
      <c r="I483" s="25">
        <f>Dimensions!$D$34*A483*A483*A483*0.000000000000000001</f>
        <v>2.5588634881260226E-07</v>
      </c>
      <c r="J483" s="25">
        <f t="shared" si="30"/>
        <v>5.2681825593879</v>
      </c>
      <c r="K483" s="25">
        <f>Dimensions!$D$37*J483</f>
        <v>790.2273839081848</v>
      </c>
    </row>
    <row r="484" spans="1:11" ht="10.5">
      <c r="A484" s="34">
        <f t="shared" si="31"/>
        <v>475</v>
      </c>
      <c r="B484" s="16"/>
      <c r="C484" s="25">
        <f t="shared" si="28"/>
        <v>1.35375E-06</v>
      </c>
      <c r="D484" s="18"/>
      <c r="E484" s="25">
        <f>Dimensions!$D$33*A484*A484*A484*0.000000000000000001</f>
        <v>1.7167286787113535E-07</v>
      </c>
      <c r="F484" s="25">
        <f t="shared" si="29"/>
        <v>7.885637473104835</v>
      </c>
      <c r="G484" s="25">
        <f>Dimensions!$D$36*F484</f>
        <v>788.5637473104836</v>
      </c>
      <c r="H484" s="18"/>
      <c r="I484" s="25">
        <f>Dimensions!$D$34*A484*A484*A484*0.000000000000000001</f>
        <v>2.57509301806703E-07</v>
      </c>
      <c r="J484" s="25">
        <f t="shared" si="30"/>
        <v>5.257091648736557</v>
      </c>
      <c r="K484" s="25">
        <f>Dimensions!$D$37*J484</f>
        <v>788.5637473104833</v>
      </c>
    </row>
    <row r="485" spans="1:11" ht="10.5">
      <c r="A485" s="34">
        <f t="shared" si="31"/>
        <v>476</v>
      </c>
      <c r="B485" s="16"/>
      <c r="C485" s="25">
        <f t="shared" si="28"/>
        <v>1.359456E-06</v>
      </c>
      <c r="D485" s="18"/>
      <c r="E485" s="25">
        <f>Dimensions!$D$33*A485*A485*A485*0.000000000000000001</f>
        <v>1.7275940179572945E-07</v>
      </c>
      <c r="F485" s="25">
        <f t="shared" si="29"/>
        <v>7.869071007825203</v>
      </c>
      <c r="G485" s="25">
        <f>Dimensions!$D$36*F485</f>
        <v>786.9071007825203</v>
      </c>
      <c r="H485" s="18"/>
      <c r="I485" s="25">
        <f>Dimensions!$D$34*A485*A485*A485*0.000000000000000001</f>
        <v>2.591391026935941E-07</v>
      </c>
      <c r="J485" s="25">
        <f t="shared" si="30"/>
        <v>5.246047338550137</v>
      </c>
      <c r="K485" s="25">
        <f>Dimensions!$D$37*J485</f>
        <v>786.9071007825204</v>
      </c>
    </row>
    <row r="486" spans="1:11" ht="10.5">
      <c r="A486" s="34">
        <f t="shared" si="31"/>
        <v>477</v>
      </c>
      <c r="B486" s="16"/>
      <c r="C486" s="25">
        <f t="shared" si="28"/>
        <v>1.365174E-06</v>
      </c>
      <c r="D486" s="18"/>
      <c r="E486" s="25">
        <f>Dimensions!$D$33*A486*A486*A486*0.000000000000000001</f>
        <v>1.7385051059326143E-07</v>
      </c>
      <c r="F486" s="25">
        <f t="shared" si="29"/>
        <v>7.852574003615927</v>
      </c>
      <c r="G486" s="25">
        <f>Dimensions!$D$36*F486</f>
        <v>785.2574003615927</v>
      </c>
      <c r="H486" s="18"/>
      <c r="I486" s="25">
        <f>Dimensions!$D$34*A486*A486*A486*0.000000000000000001</f>
        <v>2.607757658898921E-07</v>
      </c>
      <c r="J486" s="25">
        <f t="shared" si="30"/>
        <v>5.235049335743952</v>
      </c>
      <c r="K486" s="25">
        <f>Dimensions!$D$37*J486</f>
        <v>785.2574003615927</v>
      </c>
    </row>
    <row r="487" spans="1:11" ht="10.5">
      <c r="A487" s="34">
        <f t="shared" si="31"/>
        <v>478</v>
      </c>
      <c r="B487" s="16"/>
      <c r="C487" s="25">
        <f t="shared" si="28"/>
        <v>1.370904E-06</v>
      </c>
      <c r="D487" s="18"/>
      <c r="E487" s="25">
        <f>Dimensions!$D$33*A487*A487*A487*0.000000000000000001</f>
        <v>1.749462038748089E-07</v>
      </c>
      <c r="F487" s="25">
        <f t="shared" si="29"/>
        <v>7.836146024528864</v>
      </c>
      <c r="G487" s="25">
        <f>Dimensions!$D$36*F487</f>
        <v>783.6146024528864</v>
      </c>
      <c r="H487" s="18"/>
      <c r="I487" s="25">
        <f>Dimensions!$D$34*A487*A487*A487*0.000000000000000001</f>
        <v>2.624193058122134E-07</v>
      </c>
      <c r="J487" s="25">
        <f t="shared" si="30"/>
        <v>5.224097349685909</v>
      </c>
      <c r="K487" s="25">
        <f>Dimensions!$D$37*J487</f>
        <v>783.6146024528862</v>
      </c>
    </row>
    <row r="488" spans="1:11" ht="10.5">
      <c r="A488" s="34">
        <f t="shared" si="31"/>
        <v>479</v>
      </c>
      <c r="B488" s="16"/>
      <c r="C488" s="25">
        <f t="shared" si="28"/>
        <v>1.3766459999999999E-06</v>
      </c>
      <c r="D488" s="18"/>
      <c r="E488" s="25">
        <f>Dimensions!$D$33*A488*A488*A488*0.000000000000000001</f>
        <v>1.7604649125144948E-07</v>
      </c>
      <c r="F488" s="25">
        <f t="shared" si="29"/>
        <v>7.81978663825636</v>
      </c>
      <c r="G488" s="25">
        <f>Dimensions!$D$36*F488</f>
        <v>781.978663825636</v>
      </c>
      <c r="H488" s="18"/>
      <c r="I488" s="25">
        <f>Dimensions!$D$34*A488*A488*A488*0.000000000000000001</f>
        <v>2.6406973687717414E-07</v>
      </c>
      <c r="J488" s="25">
        <f t="shared" si="30"/>
        <v>5.213191092170908</v>
      </c>
      <c r="K488" s="25">
        <f>Dimensions!$D$37*J488</f>
        <v>781.9786638256361</v>
      </c>
    </row>
    <row r="489" spans="1:11" ht="10.5">
      <c r="A489" s="34">
        <f t="shared" si="31"/>
        <v>480</v>
      </c>
      <c r="B489" s="16"/>
      <c r="C489" s="25">
        <f t="shared" si="28"/>
        <v>1.3823999999999999E-06</v>
      </c>
      <c r="D489" s="18"/>
      <c r="E489" s="25">
        <f>Dimensions!$D$33*A489*A489*A489*0.000000000000000001</f>
        <v>1.7715138233426075E-07</v>
      </c>
      <c r="F489" s="25">
        <f t="shared" si="29"/>
        <v>7.803495416093325</v>
      </c>
      <c r="G489" s="25">
        <f>Dimensions!$D$36*F489</f>
        <v>780.3495416093325</v>
      </c>
      <c r="H489" s="18"/>
      <c r="I489" s="25">
        <f>Dimensions!$D$34*A489*A489*A489*0.000000000000000001</f>
        <v>2.6572707350139105E-07</v>
      </c>
      <c r="J489" s="25">
        <f t="shared" si="30"/>
        <v>5.202330277395552</v>
      </c>
      <c r="K489" s="25">
        <f>Dimensions!$D$37*J489</f>
        <v>780.3495416093326</v>
      </c>
    </row>
    <row r="490" spans="1:11" ht="10.5">
      <c r="A490" s="34">
        <f t="shared" si="31"/>
        <v>481</v>
      </c>
      <c r="B490" s="16"/>
      <c r="C490" s="25">
        <f t="shared" si="28"/>
        <v>1.388166E-06</v>
      </c>
      <c r="D490" s="18"/>
      <c r="E490" s="25">
        <f>Dimensions!$D$33*A490*A490*A490*0.000000000000000001</f>
        <v>1.782608867343203E-07</v>
      </c>
      <c r="F490" s="25">
        <f t="shared" si="29"/>
        <v>7.787271932899785</v>
      </c>
      <c r="G490" s="25">
        <f>Dimensions!$D$36*F490</f>
        <v>778.7271932899785</v>
      </c>
      <c r="H490" s="18"/>
      <c r="I490" s="25">
        <f>Dimensions!$D$34*A490*A490*A490*0.000000000000000001</f>
        <v>2.673913301014804E-07</v>
      </c>
      <c r="J490" s="25">
        <f t="shared" si="30"/>
        <v>5.191514621933191</v>
      </c>
      <c r="K490" s="25">
        <f>Dimensions!$D$37*J490</f>
        <v>778.7271932899785</v>
      </c>
    </row>
    <row r="491" spans="1:11" ht="10.5">
      <c r="A491" s="34">
        <f t="shared" si="31"/>
        <v>482</v>
      </c>
      <c r="B491" s="16"/>
      <c r="C491" s="25">
        <f t="shared" si="28"/>
        <v>1.393944E-06</v>
      </c>
      <c r="D491" s="18"/>
      <c r="E491" s="25">
        <f>Dimensions!$D$33*A491*A491*A491*0.000000000000000001</f>
        <v>1.793750140627057E-07</v>
      </c>
      <c r="F491" s="25">
        <f t="shared" si="29"/>
        <v>7.771115767063895</v>
      </c>
      <c r="G491" s="25">
        <f>Dimensions!$D$36*F491</f>
        <v>777.1115767063895</v>
      </c>
      <c r="H491" s="18"/>
      <c r="I491" s="25">
        <f>Dimensions!$D$34*A491*A491*A491*0.000000000000000001</f>
        <v>2.6906252109405855E-07</v>
      </c>
      <c r="J491" s="25">
        <f t="shared" si="30"/>
        <v>5.180743844709263</v>
      </c>
      <c r="K491" s="25">
        <f>Dimensions!$D$37*J491</f>
        <v>777.1115767063893</v>
      </c>
    </row>
    <row r="492" spans="1:11" ht="10.5">
      <c r="A492" s="34">
        <f t="shared" si="31"/>
        <v>483</v>
      </c>
      <c r="B492" s="16"/>
      <c r="C492" s="25">
        <f t="shared" si="28"/>
        <v>1.399734E-06</v>
      </c>
      <c r="D492" s="18"/>
      <c r="E492" s="25">
        <f>Dimensions!$D$33*A492*A492*A492*0.000000000000000001</f>
        <v>1.8049377393049465E-07</v>
      </c>
      <c r="F492" s="25">
        <f t="shared" si="29"/>
        <v>7.755026500465417</v>
      </c>
      <c r="G492" s="25">
        <f>Dimensions!$D$36*F492</f>
        <v>775.5026500465417</v>
      </c>
      <c r="H492" s="18"/>
      <c r="I492" s="25">
        <f>Dimensions!$D$34*A492*A492*A492*0.000000000000000001</f>
        <v>2.707406608957419E-07</v>
      </c>
      <c r="J492" s="25">
        <f t="shared" si="30"/>
        <v>5.170017666976946</v>
      </c>
      <c r="K492" s="25">
        <f>Dimensions!$D$37*J492</f>
        <v>775.5026500465418</v>
      </c>
    </row>
    <row r="493" spans="1:11" ht="10.5">
      <c r="A493" s="34">
        <f t="shared" si="31"/>
        <v>484</v>
      </c>
      <c r="B493" s="16"/>
      <c r="C493" s="25">
        <f t="shared" si="28"/>
        <v>1.405536E-06</v>
      </c>
      <c r="D493" s="18"/>
      <c r="E493" s="25">
        <f>Dimensions!$D$33*A493*A493*A493*0.000000000000000001</f>
        <v>1.816171759487646E-07</v>
      </c>
      <c r="F493" s="25">
        <f t="shared" si="29"/>
        <v>7.7390037184396645</v>
      </c>
      <c r="G493" s="25">
        <f>Dimensions!$D$36*F493</f>
        <v>773.9003718439665</v>
      </c>
      <c r="H493" s="18"/>
      <c r="I493" s="25">
        <f>Dimensions!$D$34*A493*A493*A493*0.000000000000000001</f>
        <v>2.7242576392314695E-07</v>
      </c>
      <c r="J493" s="25">
        <f t="shared" si="30"/>
        <v>5.159335812293109</v>
      </c>
      <c r="K493" s="25">
        <f>Dimensions!$D$37*J493</f>
        <v>773.9003718439661</v>
      </c>
    </row>
    <row r="494" spans="1:11" ht="10.5">
      <c r="A494" s="34">
        <f t="shared" si="31"/>
        <v>485</v>
      </c>
      <c r="B494" s="16"/>
      <c r="C494" s="25">
        <f t="shared" si="28"/>
        <v>1.41135E-06</v>
      </c>
      <c r="D494" s="18"/>
      <c r="E494" s="25">
        <f>Dimensions!$D$33*A494*A494*A494*0.000000000000000001</f>
        <v>1.827452297285933E-07</v>
      </c>
      <c r="F494" s="25">
        <f t="shared" si="29"/>
        <v>7.72304700974185</v>
      </c>
      <c r="G494" s="25">
        <f>Dimensions!$D$36*F494</f>
        <v>772.304700974185</v>
      </c>
      <c r="H494" s="18"/>
      <c r="I494" s="25">
        <f>Dimensions!$D$34*A494*A494*A494*0.000000000000000001</f>
        <v>2.741178445928899E-07</v>
      </c>
      <c r="J494" s="25">
        <f t="shared" si="30"/>
        <v>5.148698006494568</v>
      </c>
      <c r="K494" s="25">
        <f>Dimensions!$D$37*J494</f>
        <v>772.304700974185</v>
      </c>
    </row>
    <row r="495" spans="1:11" ht="10.5">
      <c r="A495" s="34">
        <f t="shared" si="31"/>
        <v>486</v>
      </c>
      <c r="B495" s="16"/>
      <c r="C495" s="25">
        <f t="shared" si="28"/>
        <v>1.417176E-06</v>
      </c>
      <c r="D495" s="18"/>
      <c r="E495" s="25">
        <f>Dimensions!$D$33*A495*A495*A495*0.000000000000000001</f>
        <v>1.8387794488105832E-07</v>
      </c>
      <c r="F495" s="25">
        <f t="shared" si="29"/>
        <v>7.707155966511928</v>
      </c>
      <c r="G495" s="25">
        <f>Dimensions!$D$36*F495</f>
        <v>770.7155966511928</v>
      </c>
      <c r="H495" s="18"/>
      <c r="I495" s="25">
        <f>Dimensions!$D$34*A495*A495*A495*0.000000000000000001</f>
        <v>2.758169173215874E-07</v>
      </c>
      <c r="J495" s="25">
        <f t="shared" si="30"/>
        <v>5.13810397767462</v>
      </c>
      <c r="K495" s="25">
        <f>Dimensions!$D$37*J495</f>
        <v>770.7155966511928</v>
      </c>
    </row>
    <row r="496" spans="1:11" ht="10.5">
      <c r="A496" s="34">
        <f t="shared" si="31"/>
        <v>487</v>
      </c>
      <c r="B496" s="16"/>
      <c r="C496" s="25">
        <f t="shared" si="28"/>
        <v>1.423014E-06</v>
      </c>
      <c r="D496" s="18"/>
      <c r="E496" s="25">
        <f>Dimensions!$D$33*A496*A496*A496*0.000000000000000001</f>
        <v>1.850153310172372E-07</v>
      </c>
      <c r="F496" s="25">
        <f t="shared" si="29"/>
        <v>7.6913301842398285</v>
      </c>
      <c r="G496" s="25">
        <f>Dimensions!$D$36*F496</f>
        <v>769.1330184239829</v>
      </c>
      <c r="H496" s="18"/>
      <c r="I496" s="25">
        <f>Dimensions!$D$34*A496*A496*A496*0.000000000000000001</f>
        <v>2.775229965258558E-07</v>
      </c>
      <c r="J496" s="25">
        <f t="shared" si="30"/>
        <v>5.127553456159886</v>
      </c>
      <c r="K496" s="25">
        <f>Dimensions!$D$37*J496</f>
        <v>769.1330184239827</v>
      </c>
    </row>
    <row r="497" spans="1:11" ht="10.5">
      <c r="A497" s="34">
        <f t="shared" si="31"/>
        <v>488</v>
      </c>
      <c r="B497" s="16"/>
      <c r="C497" s="25">
        <f t="shared" si="28"/>
        <v>1.428864E-06</v>
      </c>
      <c r="D497" s="18"/>
      <c r="E497" s="25">
        <f>Dimensions!$D$33*A497*A497*A497*0.000000000000000001</f>
        <v>1.8615739774820758E-07</v>
      </c>
      <c r="F497" s="25">
        <f t="shared" si="29"/>
        <v>7.675569261731141</v>
      </c>
      <c r="G497" s="25">
        <f>Dimensions!$D$36*F497</f>
        <v>767.5569261731141</v>
      </c>
      <c r="H497" s="18"/>
      <c r="I497" s="25">
        <f>Dimensions!$D$34*A497*A497*A497*0.000000000000000001</f>
        <v>2.792360966223113E-07</v>
      </c>
      <c r="J497" s="25">
        <f t="shared" si="30"/>
        <v>5.117046174487428</v>
      </c>
      <c r="K497" s="25">
        <f>Dimensions!$D$37*J497</f>
        <v>767.5569261731141</v>
      </c>
    </row>
    <row r="498" spans="1:11" ht="10.5">
      <c r="A498" s="34">
        <f t="shared" si="31"/>
        <v>489</v>
      </c>
      <c r="B498" s="16"/>
      <c r="C498" s="25">
        <f t="shared" si="28"/>
        <v>1.4347259999999999E-06</v>
      </c>
      <c r="D498" s="18"/>
      <c r="E498" s="25">
        <f>Dimensions!$D$33*A498*A498*A498*0.000000000000000001</f>
        <v>1.8730415468504705E-07</v>
      </c>
      <c r="F498" s="25">
        <f t="shared" si="29"/>
        <v>7.659872801073203</v>
      </c>
      <c r="G498" s="25">
        <f>Dimensions!$D$36*F498</f>
        <v>765.9872801073203</v>
      </c>
      <c r="H498" s="18"/>
      <c r="I498" s="25">
        <f>Dimensions!$D$34*A498*A498*A498*0.000000000000000001</f>
        <v>2.8095623202757054E-07</v>
      </c>
      <c r="J498" s="25">
        <f t="shared" si="30"/>
        <v>5.106581867382136</v>
      </c>
      <c r="K498" s="25">
        <f>Dimensions!$D$37*J498</f>
        <v>765.9872801073203</v>
      </c>
    </row>
    <row r="499" spans="1:11" ht="10.5">
      <c r="A499" s="34">
        <f t="shared" si="31"/>
        <v>490</v>
      </c>
      <c r="B499" s="16"/>
      <c r="C499" s="25">
        <f t="shared" si="28"/>
        <v>1.4406E-06</v>
      </c>
      <c r="D499" s="18"/>
      <c r="E499" s="25">
        <f>Dimensions!$D$33*A499*A499*A499*0.000000000000000001</f>
        <v>1.8845561143883318E-07</v>
      </c>
      <c r="F499" s="25">
        <f t="shared" si="29"/>
        <v>7.644240407601627</v>
      </c>
      <c r="G499" s="25">
        <f>Dimensions!$D$36*F499</f>
        <v>764.4240407601627</v>
      </c>
      <c r="H499" s="18"/>
      <c r="I499" s="25">
        <f>Dimensions!$D$34*A499*A499*A499*0.000000000000000001</f>
        <v>2.8268341715824984E-07</v>
      </c>
      <c r="J499" s="25">
        <f t="shared" si="30"/>
        <v>5.0961602717344165</v>
      </c>
      <c r="K499" s="25">
        <f>Dimensions!$D$37*J499</f>
        <v>764.4240407601624</v>
      </c>
    </row>
    <row r="500" spans="1:11" ht="10.5">
      <c r="A500" s="34">
        <f t="shared" si="31"/>
        <v>491</v>
      </c>
      <c r="B500" s="16"/>
      <c r="C500" s="25">
        <f t="shared" si="28"/>
        <v>1.4464859999999999E-06</v>
      </c>
      <c r="D500" s="18"/>
      <c r="E500" s="25">
        <f>Dimensions!$D$33*A500*A500*A500*0.000000000000000001</f>
        <v>1.8961177762064365E-07</v>
      </c>
      <c r="F500" s="25">
        <f t="shared" si="29"/>
        <v>7.628671689867203</v>
      </c>
      <c r="G500" s="25">
        <f>Dimensions!$D$36*F500</f>
        <v>762.8671689867203</v>
      </c>
      <c r="H500" s="18"/>
      <c r="I500" s="25">
        <f>Dimensions!$D$34*A500*A500*A500*0.000000000000000001</f>
        <v>2.844176664309654E-07</v>
      </c>
      <c r="J500" s="25">
        <f t="shared" si="30"/>
        <v>5.085781126578136</v>
      </c>
      <c r="K500" s="25">
        <f>Dimensions!$D$37*J500</f>
        <v>762.8671689867203</v>
      </c>
    </row>
    <row r="501" spans="1:11" ht="10.5">
      <c r="A501" s="34">
        <f t="shared" si="31"/>
        <v>492</v>
      </c>
      <c r="B501" s="16"/>
      <c r="C501" s="25">
        <f t="shared" si="28"/>
        <v>1.452384E-06</v>
      </c>
      <c r="D501" s="18"/>
      <c r="E501" s="25">
        <f>Dimensions!$D$33*A501*A501*A501*0.000000000000000001</f>
        <v>1.90772662841556E-07</v>
      </c>
      <c r="F501" s="25">
        <f t="shared" si="29"/>
        <v>7.613166259603246</v>
      </c>
      <c r="G501" s="25">
        <f>Dimensions!$D$36*F501</f>
        <v>761.3166259603246</v>
      </c>
      <c r="H501" s="18"/>
      <c r="I501" s="25">
        <f>Dimensions!$D$34*A501*A501*A501*0.000000000000000001</f>
        <v>2.8615899426233396E-07</v>
      </c>
      <c r="J501" s="25">
        <f t="shared" si="30"/>
        <v>5.075444173068831</v>
      </c>
      <c r="K501" s="25">
        <f>Dimensions!$D$37*J501</f>
        <v>761.3166259603246</v>
      </c>
    </row>
    <row r="502" spans="1:11" ht="10.5">
      <c r="A502" s="34">
        <f t="shared" si="31"/>
        <v>493</v>
      </c>
      <c r="B502" s="16"/>
      <c r="C502" s="25">
        <f t="shared" si="28"/>
        <v>1.458294E-06</v>
      </c>
      <c r="D502" s="18"/>
      <c r="E502" s="25">
        <f>Dimensions!$D$33*A502*A502*A502*0.000000000000000001</f>
        <v>1.9193827671264784E-07</v>
      </c>
      <c r="F502" s="25">
        <f t="shared" si="29"/>
        <v>7.5977237316933</v>
      </c>
      <c r="G502" s="25">
        <f>Dimensions!$D$36*F502</f>
        <v>759.77237316933</v>
      </c>
      <c r="H502" s="18"/>
      <c r="I502" s="25">
        <f>Dimensions!$D$34*A502*A502*A502*0.000000000000000001</f>
        <v>2.879074150689717E-07</v>
      </c>
      <c r="J502" s="25">
        <f t="shared" si="30"/>
        <v>5.065149154462201</v>
      </c>
      <c r="K502" s="25">
        <f>Dimensions!$D$37*J502</f>
        <v>759.7723731693301</v>
      </c>
    </row>
    <row r="503" spans="1:11" ht="10.5">
      <c r="A503" s="34">
        <f t="shared" si="31"/>
        <v>494</v>
      </c>
      <c r="B503" s="16"/>
      <c r="C503" s="25">
        <f t="shared" si="28"/>
        <v>1.464216E-06</v>
      </c>
      <c r="D503" s="18"/>
      <c r="E503" s="25">
        <f>Dimensions!$D$33*A503*A503*A503*0.000000000000000001</f>
        <v>1.931086288449968E-07</v>
      </c>
      <c r="F503" s="25">
        <f t="shared" si="29"/>
        <v>7.582343724139264</v>
      </c>
      <c r="G503" s="25">
        <f>Dimensions!$D$36*F503</f>
        <v>758.2343724139264</v>
      </c>
      <c r="H503" s="18"/>
      <c r="I503" s="25">
        <f>Dimensions!$D$34*A503*A503*A503*0.000000000000000001</f>
        <v>2.8966294326749507E-07</v>
      </c>
      <c r="J503" s="25">
        <f t="shared" si="30"/>
        <v>5.054895816092845</v>
      </c>
      <c r="K503" s="25">
        <f>Dimensions!$D$37*J503</f>
        <v>758.2343724139266</v>
      </c>
    </row>
    <row r="504" spans="1:11" ht="10.5">
      <c r="A504" s="34">
        <f t="shared" si="31"/>
        <v>495</v>
      </c>
      <c r="B504" s="16"/>
      <c r="C504" s="25">
        <f t="shared" si="28"/>
        <v>1.47015E-06</v>
      </c>
      <c r="D504" s="18"/>
      <c r="E504" s="25">
        <f>Dimensions!$D$33*A504*A504*A504*0.000000000000000001</f>
        <v>1.9428372884968042E-07</v>
      </c>
      <c r="F504" s="25">
        <f t="shared" si="29"/>
        <v>7.567025858029893</v>
      </c>
      <c r="G504" s="25">
        <f>Dimensions!$D$36*F504</f>
        <v>756.7025858029892</v>
      </c>
      <c r="H504" s="18"/>
      <c r="I504" s="25">
        <f>Dimensions!$D$34*A504*A504*A504*0.000000000000000001</f>
        <v>2.914255932745206E-07</v>
      </c>
      <c r="J504" s="25">
        <f t="shared" si="30"/>
        <v>5.044683905353263</v>
      </c>
      <c r="K504" s="25">
        <f>Dimensions!$D$37*J504</f>
        <v>756.7025858029892</v>
      </c>
    </row>
    <row r="505" spans="1:11" ht="10.5">
      <c r="A505" s="34">
        <f t="shared" si="31"/>
        <v>496</v>
      </c>
      <c r="B505" s="16"/>
      <c r="C505" s="25">
        <f t="shared" si="28"/>
        <v>1.476096E-06</v>
      </c>
      <c r="D505" s="18"/>
      <c r="E505" s="25">
        <f>Dimensions!$D$33*A505*A505*A505*0.000000000000000001</f>
        <v>1.9546358633777635E-07</v>
      </c>
      <c r="F505" s="25">
        <f t="shared" si="29"/>
        <v>7.551769757509671</v>
      </c>
      <c r="G505" s="25">
        <f>Dimensions!$D$36*F505</f>
        <v>755.1769757509671</v>
      </c>
      <c r="H505" s="18"/>
      <c r="I505" s="25">
        <f>Dimensions!$D$34*A505*A505*A505*0.000000000000000001</f>
        <v>2.9319537950666453E-07</v>
      </c>
      <c r="J505" s="25">
        <f t="shared" si="30"/>
        <v>5.034513171673114</v>
      </c>
      <c r="K505" s="25">
        <f>Dimensions!$D$37*J505</f>
        <v>755.176975750967</v>
      </c>
    </row>
    <row r="506" spans="1:11" ht="10.5">
      <c r="A506" s="34">
        <f t="shared" si="31"/>
        <v>497</v>
      </c>
      <c r="B506" s="16"/>
      <c r="C506" s="25">
        <f t="shared" si="28"/>
        <v>1.482054E-06</v>
      </c>
      <c r="D506" s="18"/>
      <c r="E506" s="25">
        <f>Dimensions!$D$33*A506*A506*A506*0.000000000000000001</f>
        <v>1.9664821092036217E-07</v>
      </c>
      <c r="F506" s="25">
        <f t="shared" si="29"/>
        <v>7.536575049748082</v>
      </c>
      <c r="G506" s="25">
        <f>Dimensions!$D$36*F506</f>
        <v>753.6575049748083</v>
      </c>
      <c r="H506" s="18"/>
      <c r="I506" s="25">
        <f>Dimensions!$D$34*A506*A506*A506*0.000000000000000001</f>
        <v>2.9497231638054325E-07</v>
      </c>
      <c r="J506" s="25">
        <f t="shared" si="30"/>
        <v>5.024383366498722</v>
      </c>
      <c r="K506" s="25">
        <f>Dimensions!$D$37*J506</f>
        <v>753.6575049748081</v>
      </c>
    </row>
    <row r="507" spans="1:11" ht="10.5">
      <c r="A507" s="34">
        <f t="shared" si="31"/>
        <v>498</v>
      </c>
      <c r="B507" s="16"/>
      <c r="C507" s="25">
        <f t="shared" si="28"/>
        <v>1.488024E-06</v>
      </c>
      <c r="D507" s="18"/>
      <c r="E507" s="25">
        <f>Dimensions!$D$33*A507*A507*A507*0.000000000000000001</f>
        <v>1.9783761220851553E-07</v>
      </c>
      <c r="F507" s="25">
        <f t="shared" si="29"/>
        <v>7.52144136490923</v>
      </c>
      <c r="G507" s="25">
        <f>Dimensions!$D$36*F507</f>
        <v>752.1441364909231</v>
      </c>
      <c r="H507" s="18"/>
      <c r="I507" s="25">
        <f>Dimensions!$D$34*A507*A507*A507*0.000000000000000001</f>
        <v>2.967564183127732E-07</v>
      </c>
      <c r="J507" s="25">
        <f t="shared" si="30"/>
        <v>5.014294243272822</v>
      </c>
      <c r="K507" s="25">
        <f>Dimensions!$D$37*J507</f>
        <v>752.1441364909232</v>
      </c>
    </row>
    <row r="508" spans="1:11" ht="10.5">
      <c r="A508" s="34">
        <f t="shared" si="31"/>
        <v>499</v>
      </c>
      <c r="B508" s="16"/>
      <c r="C508" s="25">
        <f t="shared" si="28"/>
        <v>1.494006E-06</v>
      </c>
      <c r="D508" s="18"/>
      <c r="E508" s="25">
        <f>Dimensions!$D$33*A508*A508*A508*0.000000000000000001</f>
        <v>1.9903179981331396E-07</v>
      </c>
      <c r="F508" s="25">
        <f t="shared" si="29"/>
        <v>7.506368336121836</v>
      </c>
      <c r="G508" s="25">
        <f>Dimensions!$D$36*F508</f>
        <v>750.6368336121836</v>
      </c>
      <c r="H508" s="18"/>
      <c r="I508" s="25">
        <f>Dimensions!$D$34*A508*A508*A508*0.000000000000000001</f>
        <v>2.9854769971997086E-07</v>
      </c>
      <c r="J508" s="25">
        <f t="shared" si="30"/>
        <v>5.004245557414559</v>
      </c>
      <c r="K508" s="25">
        <f>Dimensions!$D$37*J508</f>
        <v>750.6368336121838</v>
      </c>
    </row>
    <row r="509" spans="1:11" ht="10.5">
      <c r="A509" s="34">
        <f t="shared" si="31"/>
        <v>500</v>
      </c>
      <c r="B509" s="16"/>
      <c r="C509" s="25">
        <f t="shared" si="28"/>
        <v>1.5E-06</v>
      </c>
      <c r="D509" s="18"/>
      <c r="E509" s="25">
        <f>Dimensions!$D$33*A509*A509*A509*0.000000000000000001</f>
        <v>2.0023078334583508E-07</v>
      </c>
      <c r="F509" s="25">
        <f t="shared" si="29"/>
        <v>7.4913555994495935</v>
      </c>
      <c r="G509" s="25">
        <f>Dimensions!$D$36*F509</f>
        <v>749.1355599449594</v>
      </c>
      <c r="H509" s="18"/>
      <c r="I509" s="25">
        <f>Dimensions!$D$34*A509*A509*A509*0.000000000000000001</f>
        <v>3.003461750187526E-07</v>
      </c>
      <c r="J509" s="25">
        <f t="shared" si="30"/>
        <v>4.994237066299729</v>
      </c>
      <c r="K509" s="25">
        <f>Dimensions!$D$37*J509</f>
        <v>749.1355599449593</v>
      </c>
    </row>
    <row r="510" spans="1:11" ht="10.5">
      <c r="A510" s="34"/>
      <c r="B510" s="16"/>
      <c r="C510" s="25"/>
      <c r="D510" s="18"/>
      <c r="E510" s="25"/>
      <c r="F510" s="25"/>
      <c r="G510" s="25"/>
      <c r="H510" s="18"/>
      <c r="I510" s="25"/>
      <c r="J510" s="25"/>
      <c r="K510" s="25"/>
    </row>
    <row r="511" spans="1:11" ht="10.5">
      <c r="A511" s="34"/>
      <c r="B511" s="16"/>
      <c r="C511" s="25"/>
      <c r="D511" s="18"/>
      <c r="E511" s="25"/>
      <c r="F511" s="25"/>
      <c r="G511" s="25"/>
      <c r="H511" s="18"/>
      <c r="I511" s="25"/>
      <c r="J511" s="25"/>
      <c r="K511" s="25"/>
    </row>
    <row r="512" spans="1:11" ht="10.5">
      <c r="A512" s="34"/>
      <c r="B512" s="16"/>
      <c r="C512" s="25"/>
      <c r="D512" s="18"/>
      <c r="E512" s="25"/>
      <c r="F512" s="25"/>
      <c r="G512" s="25"/>
      <c r="H512" s="18"/>
      <c r="I512" s="25"/>
      <c r="J512" s="25"/>
      <c r="K512" s="25"/>
    </row>
    <row r="513" spans="1:11" ht="10.5">
      <c r="A513" s="34"/>
      <c r="B513" s="16"/>
      <c r="C513" s="25"/>
      <c r="D513" s="18"/>
      <c r="E513" s="25"/>
      <c r="F513" s="25"/>
      <c r="G513" s="25"/>
      <c r="H513" s="18"/>
      <c r="I513" s="25"/>
      <c r="J513" s="25"/>
      <c r="K513" s="25"/>
    </row>
    <row r="514" spans="1:11" ht="10.5">
      <c r="A514" s="34"/>
      <c r="B514" s="16"/>
      <c r="C514" s="25"/>
      <c r="D514" s="18"/>
      <c r="E514" s="25"/>
      <c r="F514" s="25"/>
      <c r="G514" s="25"/>
      <c r="H514" s="18"/>
      <c r="I514" s="25"/>
      <c r="J514" s="25"/>
      <c r="K514" s="25"/>
    </row>
    <row r="515" spans="1:11" ht="10.5">
      <c r="A515" s="34"/>
      <c r="B515" s="16"/>
      <c r="C515" s="25"/>
      <c r="D515" s="18"/>
      <c r="E515" s="25"/>
      <c r="F515" s="25"/>
      <c r="G515" s="25"/>
      <c r="H515" s="18"/>
      <c r="I515" s="25"/>
      <c r="J515" s="25"/>
      <c r="K515" s="25"/>
    </row>
    <row r="516" spans="1:11" ht="10.5">
      <c r="A516" s="34"/>
      <c r="B516" s="16"/>
      <c r="C516" s="25"/>
      <c r="D516" s="18"/>
      <c r="E516" s="25"/>
      <c r="F516" s="25"/>
      <c r="G516" s="25"/>
      <c r="H516" s="18"/>
      <c r="I516" s="25"/>
      <c r="J516" s="25"/>
      <c r="K516" s="25"/>
    </row>
    <row r="517" spans="1:11" ht="10.5">
      <c r="A517" s="34"/>
      <c r="B517" s="16"/>
      <c r="C517" s="25"/>
      <c r="D517" s="18"/>
      <c r="E517" s="25"/>
      <c r="F517" s="25"/>
      <c r="G517" s="25"/>
      <c r="H517" s="18"/>
      <c r="I517" s="25"/>
      <c r="J517" s="25"/>
      <c r="K517" s="25"/>
    </row>
    <row r="518" spans="1:11" ht="10.5">
      <c r="A518" s="34"/>
      <c r="B518" s="16"/>
      <c r="C518" s="25"/>
      <c r="D518" s="18"/>
      <c r="E518" s="25"/>
      <c r="F518" s="25"/>
      <c r="G518" s="25"/>
      <c r="H518" s="18"/>
      <c r="I518" s="25"/>
      <c r="J518" s="25"/>
      <c r="K518" s="25"/>
    </row>
    <row r="519" spans="1:11" ht="10.5">
      <c r="A519" s="34"/>
      <c r="B519" s="16"/>
      <c r="C519" s="25"/>
      <c r="D519" s="18"/>
      <c r="E519" s="25"/>
      <c r="F519" s="25"/>
      <c r="G519" s="25"/>
      <c r="H519" s="18"/>
      <c r="I519" s="25"/>
      <c r="J519" s="25"/>
      <c r="K519" s="25"/>
    </row>
    <row r="520" spans="1:11" ht="10.5">
      <c r="A520" s="34"/>
      <c r="B520" s="16"/>
      <c r="C520" s="25"/>
      <c r="D520" s="18"/>
      <c r="E520" s="25"/>
      <c r="F520" s="25"/>
      <c r="G520" s="25"/>
      <c r="H520" s="18"/>
      <c r="I520" s="25"/>
      <c r="J520" s="25"/>
      <c r="K520" s="25"/>
    </row>
    <row r="521" spans="1:11" ht="10.5">
      <c r="A521" s="34"/>
      <c r="B521" s="16"/>
      <c r="C521" s="25"/>
      <c r="D521" s="18"/>
      <c r="E521" s="25"/>
      <c r="F521" s="25"/>
      <c r="G521" s="25"/>
      <c r="H521" s="18"/>
      <c r="I521" s="25"/>
      <c r="J521" s="25"/>
      <c r="K521" s="25"/>
    </row>
    <row r="522" spans="1:11" ht="10.5">
      <c r="A522" s="34"/>
      <c r="B522" s="16"/>
      <c r="C522" s="25"/>
      <c r="D522" s="18"/>
      <c r="E522" s="25"/>
      <c r="F522" s="25"/>
      <c r="G522" s="25"/>
      <c r="H522" s="18"/>
      <c r="I522" s="25"/>
      <c r="J522" s="25"/>
      <c r="K522" s="25"/>
    </row>
    <row r="523" spans="1:11" ht="10.5">
      <c r="A523" s="34"/>
      <c r="B523" s="16"/>
      <c r="C523" s="25"/>
      <c r="D523" s="18"/>
      <c r="E523" s="25"/>
      <c r="F523" s="25"/>
      <c r="G523" s="25"/>
      <c r="H523" s="18"/>
      <c r="I523" s="25"/>
      <c r="J523" s="25"/>
      <c r="K523" s="25"/>
    </row>
    <row r="524" spans="1:11" ht="10.5">
      <c r="A524" s="34"/>
      <c r="B524" s="16"/>
      <c r="C524" s="25"/>
      <c r="D524" s="18"/>
      <c r="E524" s="25"/>
      <c r="F524" s="25"/>
      <c r="G524" s="25"/>
      <c r="H524" s="18"/>
      <c r="I524" s="25"/>
      <c r="J524" s="25"/>
      <c r="K524" s="25"/>
    </row>
    <row r="525" spans="1:11" ht="10.5">
      <c r="A525" s="34"/>
      <c r="B525" s="16"/>
      <c r="C525" s="25"/>
      <c r="D525" s="18"/>
      <c r="E525" s="25"/>
      <c r="F525" s="25"/>
      <c r="G525" s="25"/>
      <c r="H525" s="18"/>
      <c r="I525" s="25"/>
      <c r="J525" s="25"/>
      <c r="K525" s="25"/>
    </row>
    <row r="526" spans="1:11" ht="10.5">
      <c r="A526" s="34"/>
      <c r="B526" s="16"/>
      <c r="C526" s="25"/>
      <c r="D526" s="18"/>
      <c r="E526" s="25"/>
      <c r="F526" s="25"/>
      <c r="G526" s="25"/>
      <c r="H526" s="18"/>
      <c r="I526" s="25"/>
      <c r="J526" s="25"/>
      <c r="K526" s="25"/>
    </row>
    <row r="527" spans="1:11" ht="10.5">
      <c r="A527" s="34"/>
      <c r="B527" s="16"/>
      <c r="C527" s="25"/>
      <c r="D527" s="18"/>
      <c r="E527" s="25"/>
      <c r="F527" s="25"/>
      <c r="G527" s="25"/>
      <c r="H527" s="18"/>
      <c r="I527" s="25"/>
      <c r="J527" s="25"/>
      <c r="K527" s="25"/>
    </row>
    <row r="528" spans="1:11" ht="10.5">
      <c r="A528" s="34"/>
      <c r="B528" s="16"/>
      <c r="C528" s="25"/>
      <c r="D528" s="18"/>
      <c r="E528" s="25"/>
      <c r="F528" s="25"/>
      <c r="G528" s="25"/>
      <c r="H528" s="18"/>
      <c r="I528" s="25"/>
      <c r="J528" s="25"/>
      <c r="K528" s="25"/>
    </row>
    <row r="529" spans="1:11" ht="10.5">
      <c r="A529" s="34"/>
      <c r="B529" s="16"/>
      <c r="C529" s="25"/>
      <c r="D529" s="18"/>
      <c r="E529" s="25"/>
      <c r="F529" s="25"/>
      <c r="G529" s="25"/>
      <c r="H529" s="18"/>
      <c r="I529" s="25"/>
      <c r="J529" s="25"/>
      <c r="K529" s="25"/>
    </row>
    <row r="530" spans="1:11" ht="10.5">
      <c r="A530" s="34"/>
      <c r="B530" s="16"/>
      <c r="C530" s="25"/>
      <c r="D530" s="18"/>
      <c r="E530" s="25"/>
      <c r="F530" s="25"/>
      <c r="G530" s="25"/>
      <c r="H530" s="18"/>
      <c r="I530" s="25"/>
      <c r="J530" s="25"/>
      <c r="K530" s="25"/>
    </row>
    <row r="531" spans="1:11" ht="10.5">
      <c r="A531" s="34"/>
      <c r="B531" s="16"/>
      <c r="C531" s="25"/>
      <c r="D531" s="18"/>
      <c r="E531" s="25"/>
      <c r="F531" s="25"/>
      <c r="G531" s="25"/>
      <c r="H531" s="18"/>
      <c r="I531" s="25"/>
      <c r="J531" s="25"/>
      <c r="K531" s="25"/>
    </row>
    <row r="532" spans="1:11" ht="10.5">
      <c r="A532" s="34"/>
      <c r="B532" s="16"/>
      <c r="C532" s="25"/>
      <c r="D532" s="18"/>
      <c r="E532" s="25"/>
      <c r="F532" s="25"/>
      <c r="G532" s="25"/>
      <c r="H532" s="18"/>
      <c r="I532" s="25"/>
      <c r="J532" s="25"/>
      <c r="K532" s="25"/>
    </row>
    <row r="533" spans="1:11" ht="10.5">
      <c r="A533" s="34"/>
      <c r="B533" s="16"/>
      <c r="C533" s="25"/>
      <c r="D533" s="18"/>
      <c r="E533" s="25"/>
      <c r="F533" s="25"/>
      <c r="G533" s="25"/>
      <c r="H533" s="18"/>
      <c r="I533" s="25"/>
      <c r="J533" s="25"/>
      <c r="K533" s="25"/>
    </row>
    <row r="534" spans="1:11" ht="10.5">
      <c r="A534" s="34"/>
      <c r="B534" s="16"/>
      <c r="C534" s="25"/>
      <c r="D534" s="18"/>
      <c r="E534" s="25"/>
      <c r="F534" s="25"/>
      <c r="G534" s="25"/>
      <c r="H534" s="18"/>
      <c r="I534" s="25"/>
      <c r="J534" s="25"/>
      <c r="K534" s="25"/>
    </row>
    <row r="535" spans="1:11" ht="10.5">
      <c r="A535" s="34"/>
      <c r="B535" s="16"/>
      <c r="C535" s="25"/>
      <c r="D535" s="18"/>
      <c r="E535" s="25"/>
      <c r="F535" s="25"/>
      <c r="G535" s="25"/>
      <c r="H535" s="18"/>
      <c r="I535" s="25"/>
      <c r="J535" s="25"/>
      <c r="K535" s="25"/>
    </row>
    <row r="536" spans="1:11" ht="10.5">
      <c r="A536" s="34"/>
      <c r="B536" s="16"/>
      <c r="C536" s="25"/>
      <c r="D536" s="18"/>
      <c r="E536" s="25"/>
      <c r="F536" s="25"/>
      <c r="G536" s="25"/>
      <c r="H536" s="18"/>
      <c r="I536" s="25"/>
      <c r="J536" s="25"/>
      <c r="K536" s="25"/>
    </row>
    <row r="537" spans="1:11" ht="10.5">
      <c r="A537" s="34"/>
      <c r="B537" s="16"/>
      <c r="C537" s="25"/>
      <c r="D537" s="18"/>
      <c r="E537" s="25"/>
      <c r="F537" s="25"/>
      <c r="G537" s="25"/>
      <c r="H537" s="18"/>
      <c r="I537" s="25"/>
      <c r="J537" s="25"/>
      <c r="K537" s="25"/>
    </row>
    <row r="538" spans="1:11" ht="10.5">
      <c r="A538" s="34"/>
      <c r="B538" s="16"/>
      <c r="C538" s="25"/>
      <c r="D538" s="18"/>
      <c r="E538" s="25"/>
      <c r="F538" s="25"/>
      <c r="G538" s="25"/>
      <c r="H538" s="18"/>
      <c r="I538" s="25"/>
      <c r="J538" s="25"/>
      <c r="K538" s="25"/>
    </row>
    <row r="539" spans="1:11" ht="10.5">
      <c r="A539" s="34"/>
      <c r="B539" s="16"/>
      <c r="C539" s="25"/>
      <c r="D539" s="18"/>
      <c r="E539" s="25"/>
      <c r="F539" s="25"/>
      <c r="G539" s="25"/>
      <c r="H539" s="18"/>
      <c r="I539" s="25"/>
      <c r="J539" s="25"/>
      <c r="K539" s="25"/>
    </row>
    <row r="540" spans="1:11" ht="10.5">
      <c r="A540" s="34"/>
      <c r="B540" s="16"/>
      <c r="C540" s="25"/>
      <c r="D540" s="18"/>
      <c r="E540" s="25"/>
      <c r="F540" s="25"/>
      <c r="G540" s="25"/>
      <c r="H540" s="18"/>
      <c r="I540" s="25"/>
      <c r="J540" s="25"/>
      <c r="K540" s="25"/>
    </row>
    <row r="541" spans="1:11" ht="10.5">
      <c r="A541" s="34"/>
      <c r="B541" s="16"/>
      <c r="C541" s="25"/>
      <c r="D541" s="18"/>
      <c r="E541" s="25"/>
      <c r="F541" s="25"/>
      <c r="G541" s="25"/>
      <c r="H541" s="18"/>
      <c r="I541" s="25"/>
      <c r="J541" s="25"/>
      <c r="K541" s="25"/>
    </row>
    <row r="542" spans="1:11" ht="10.5">
      <c r="A542" s="34"/>
      <c r="B542" s="16"/>
      <c r="C542" s="25"/>
      <c r="D542" s="18"/>
      <c r="E542" s="25"/>
      <c r="F542" s="25"/>
      <c r="G542" s="25"/>
      <c r="H542" s="18"/>
      <c r="I542" s="25"/>
      <c r="J542" s="25"/>
      <c r="K542" s="25"/>
    </row>
    <row r="543" spans="1:11" ht="10.5">
      <c r="A543" s="34"/>
      <c r="B543" s="16"/>
      <c r="C543" s="25"/>
      <c r="D543" s="18"/>
      <c r="E543" s="25"/>
      <c r="F543" s="25"/>
      <c r="G543" s="25"/>
      <c r="H543" s="18"/>
      <c r="I543" s="25"/>
      <c r="J543" s="25"/>
      <c r="K543" s="25"/>
    </row>
    <row r="544" spans="1:11" ht="10.5">
      <c r="A544" s="34"/>
      <c r="B544" s="16"/>
      <c r="C544" s="25"/>
      <c r="D544" s="18"/>
      <c r="E544" s="25"/>
      <c r="F544" s="25"/>
      <c r="G544" s="25"/>
      <c r="H544" s="18"/>
      <c r="I544" s="25"/>
      <c r="J544" s="25"/>
      <c r="K544" s="25"/>
    </row>
    <row r="545" spans="1:11" ht="10.5">
      <c r="A545" s="34"/>
      <c r="B545" s="16"/>
      <c r="C545" s="25"/>
      <c r="D545" s="18"/>
      <c r="E545" s="25"/>
      <c r="F545" s="25"/>
      <c r="G545" s="25"/>
      <c r="H545" s="18"/>
      <c r="I545" s="25"/>
      <c r="J545" s="25"/>
      <c r="K545" s="25"/>
    </row>
    <row r="546" spans="1:11" ht="10.5">
      <c r="A546" s="34"/>
      <c r="B546" s="16"/>
      <c r="C546" s="25"/>
      <c r="D546" s="18"/>
      <c r="E546" s="25"/>
      <c r="F546" s="25"/>
      <c r="G546" s="25"/>
      <c r="H546" s="18"/>
      <c r="I546" s="25"/>
      <c r="J546" s="25"/>
      <c r="K546" s="25"/>
    </row>
    <row r="547" spans="1:11" ht="10.5">
      <c r="A547" s="34"/>
      <c r="B547" s="16"/>
      <c r="C547" s="25"/>
      <c r="D547" s="18"/>
      <c r="E547" s="25"/>
      <c r="F547" s="25"/>
      <c r="G547" s="25"/>
      <c r="H547" s="18"/>
      <c r="I547" s="25"/>
      <c r="J547" s="25"/>
      <c r="K547" s="25"/>
    </row>
    <row r="548" spans="1:11" ht="10.5">
      <c r="A548" s="34"/>
      <c r="B548" s="16"/>
      <c r="C548" s="25"/>
      <c r="D548" s="18"/>
      <c r="E548" s="25"/>
      <c r="F548" s="25"/>
      <c r="G548" s="25"/>
      <c r="H548" s="18"/>
      <c r="I548" s="25"/>
      <c r="J548" s="25"/>
      <c r="K548" s="25"/>
    </row>
    <row r="549" spans="1:11" ht="10.5">
      <c r="A549" s="34"/>
      <c r="B549" s="16"/>
      <c r="C549" s="25"/>
      <c r="D549" s="18"/>
      <c r="E549" s="25"/>
      <c r="F549" s="25"/>
      <c r="G549" s="25"/>
      <c r="H549" s="18"/>
      <c r="I549" s="25"/>
      <c r="J549" s="25"/>
      <c r="K549" s="25"/>
    </row>
    <row r="550" spans="1:11" ht="10.5">
      <c r="A550" s="34"/>
      <c r="B550" s="16"/>
      <c r="C550" s="25"/>
      <c r="D550" s="18"/>
      <c r="E550" s="25"/>
      <c r="F550" s="25"/>
      <c r="G550" s="25"/>
      <c r="H550" s="18"/>
      <c r="I550" s="25"/>
      <c r="J550" s="25"/>
      <c r="K550" s="25"/>
    </row>
    <row r="551" spans="1:11" ht="10.5">
      <c r="A551" s="34"/>
      <c r="B551" s="16"/>
      <c r="C551" s="25"/>
      <c r="D551" s="18"/>
      <c r="E551" s="25"/>
      <c r="F551" s="25"/>
      <c r="G551" s="25"/>
      <c r="H551" s="18"/>
      <c r="I551" s="25"/>
      <c r="J551" s="25"/>
      <c r="K551" s="25"/>
    </row>
    <row r="552" spans="1:11" ht="10.5">
      <c r="A552" s="34"/>
      <c r="B552" s="16"/>
      <c r="C552" s="25"/>
      <c r="D552" s="18"/>
      <c r="E552" s="25"/>
      <c r="F552" s="25"/>
      <c r="G552" s="25"/>
      <c r="H552" s="18"/>
      <c r="I552" s="25"/>
      <c r="J552" s="25"/>
      <c r="K552" s="25"/>
    </row>
    <row r="553" spans="1:11" ht="10.5">
      <c r="A553" s="34"/>
      <c r="B553" s="16"/>
      <c r="C553" s="25"/>
      <c r="D553" s="18"/>
      <c r="E553" s="25"/>
      <c r="F553" s="25"/>
      <c r="G553" s="25"/>
      <c r="H553" s="18"/>
      <c r="I553" s="25"/>
      <c r="J553" s="25"/>
      <c r="K553" s="25"/>
    </row>
    <row r="554" spans="1:11" ht="10.5">
      <c r="A554" s="34"/>
      <c r="B554" s="16"/>
      <c r="C554" s="25"/>
      <c r="D554" s="18"/>
      <c r="E554" s="25"/>
      <c r="F554" s="25"/>
      <c r="G554" s="25"/>
      <c r="H554" s="18"/>
      <c r="I554" s="25"/>
      <c r="J554" s="25"/>
      <c r="K554" s="25"/>
    </row>
    <row r="555" spans="1:11" ht="10.5">
      <c r="A555" s="34"/>
      <c r="B555" s="16"/>
      <c r="C555" s="25"/>
      <c r="D555" s="18"/>
      <c r="E555" s="25"/>
      <c r="F555" s="25"/>
      <c r="G555" s="25"/>
      <c r="H555" s="18"/>
      <c r="I555" s="25"/>
      <c r="J555" s="25"/>
      <c r="K555" s="25"/>
    </row>
    <row r="556" spans="1:11" ht="10.5">
      <c r="A556" s="34"/>
      <c r="B556" s="16"/>
      <c r="C556" s="25"/>
      <c r="D556" s="18"/>
      <c r="E556" s="25"/>
      <c r="F556" s="25"/>
      <c r="G556" s="25"/>
      <c r="H556" s="18"/>
      <c r="I556" s="25"/>
      <c r="J556" s="25"/>
      <c r="K556" s="25"/>
    </row>
    <row r="557" spans="1:11" ht="10.5">
      <c r="A557" s="34"/>
      <c r="B557" s="16"/>
      <c r="C557" s="25"/>
      <c r="D557" s="18"/>
      <c r="E557" s="25"/>
      <c r="F557" s="25"/>
      <c r="G557" s="25"/>
      <c r="H557" s="18"/>
      <c r="I557" s="25"/>
      <c r="J557" s="25"/>
      <c r="K557" s="25"/>
    </row>
    <row r="558" spans="1:11" ht="10.5">
      <c r="A558" s="34"/>
      <c r="B558" s="16"/>
      <c r="C558" s="25"/>
      <c r="D558" s="18"/>
      <c r="E558" s="25"/>
      <c r="F558" s="25"/>
      <c r="G558" s="25"/>
      <c r="H558" s="18"/>
      <c r="I558" s="25"/>
      <c r="J558" s="25"/>
      <c r="K558" s="25"/>
    </row>
    <row r="559" spans="1:11" ht="10.5">
      <c r="A559" s="34"/>
      <c r="B559" s="16"/>
      <c r="C559" s="25"/>
      <c r="D559" s="18"/>
      <c r="E559" s="25"/>
      <c r="F559" s="25"/>
      <c r="G559" s="25"/>
      <c r="H559" s="18"/>
      <c r="I559" s="25"/>
      <c r="J559" s="25"/>
      <c r="K559" s="25"/>
    </row>
    <row r="560" spans="1:11" ht="10.5">
      <c r="A560" s="34"/>
      <c r="B560" s="16"/>
      <c r="C560" s="25"/>
      <c r="D560" s="18"/>
      <c r="E560" s="25"/>
      <c r="F560" s="25"/>
      <c r="G560" s="25"/>
      <c r="H560" s="18"/>
      <c r="I560" s="25"/>
      <c r="J560" s="25"/>
      <c r="K560" s="25"/>
    </row>
    <row r="561" spans="1:11" ht="10.5">
      <c r="A561" s="34"/>
      <c r="B561" s="16"/>
      <c r="C561" s="25"/>
      <c r="D561" s="18"/>
      <c r="E561" s="25"/>
      <c r="F561" s="25"/>
      <c r="G561" s="25"/>
      <c r="H561" s="18"/>
      <c r="I561" s="25"/>
      <c r="J561" s="25"/>
      <c r="K561" s="25"/>
    </row>
    <row r="562" spans="1:11" ht="10.5">
      <c r="A562" s="34"/>
      <c r="B562" s="16"/>
      <c r="C562" s="25"/>
      <c r="D562" s="18"/>
      <c r="E562" s="25"/>
      <c r="F562" s="25"/>
      <c r="G562" s="25"/>
      <c r="H562" s="18"/>
      <c r="I562" s="25"/>
      <c r="J562" s="25"/>
      <c r="K562" s="25"/>
    </row>
    <row r="563" spans="1:11" ht="10.5">
      <c r="A563" s="34"/>
      <c r="B563" s="16"/>
      <c r="C563" s="25"/>
      <c r="D563" s="18"/>
      <c r="E563" s="25"/>
      <c r="F563" s="25"/>
      <c r="G563" s="25"/>
      <c r="H563" s="18"/>
      <c r="I563" s="25"/>
      <c r="J563" s="25"/>
      <c r="K563" s="25"/>
    </row>
    <row r="564" spans="1:11" ht="10.5">
      <c r="A564" s="34"/>
      <c r="B564" s="16"/>
      <c r="C564" s="25"/>
      <c r="D564" s="18"/>
      <c r="E564" s="25"/>
      <c r="F564" s="25"/>
      <c r="G564" s="25"/>
      <c r="H564" s="18"/>
      <c r="I564" s="25"/>
      <c r="J564" s="25"/>
      <c r="K564" s="25"/>
    </row>
    <row r="565" spans="1:11" ht="10.5">
      <c r="A565" s="34"/>
      <c r="B565" s="16"/>
      <c r="C565" s="25"/>
      <c r="D565" s="18"/>
      <c r="E565" s="25"/>
      <c r="F565" s="25"/>
      <c r="G565" s="25"/>
      <c r="H565" s="18"/>
      <c r="I565" s="25"/>
      <c r="J565" s="25"/>
      <c r="K565" s="25"/>
    </row>
    <row r="566" spans="1:11" ht="10.5">
      <c r="A566" s="34"/>
      <c r="B566" s="16"/>
      <c r="C566" s="25"/>
      <c r="D566" s="18"/>
      <c r="E566" s="25"/>
      <c r="F566" s="25"/>
      <c r="G566" s="25"/>
      <c r="H566" s="18"/>
      <c r="I566" s="25"/>
      <c r="J566" s="25"/>
      <c r="K566" s="25"/>
    </row>
    <row r="567" spans="1:11" ht="10.5">
      <c r="A567" s="34"/>
      <c r="B567" s="16"/>
      <c r="C567" s="25"/>
      <c r="D567" s="18"/>
      <c r="E567" s="25"/>
      <c r="F567" s="25"/>
      <c r="G567" s="25"/>
      <c r="H567" s="18"/>
      <c r="I567" s="25"/>
      <c r="J567" s="25"/>
      <c r="K567" s="25"/>
    </row>
    <row r="568" spans="1:11" ht="10.5">
      <c r="A568" s="34"/>
      <c r="B568" s="16"/>
      <c r="C568" s="25"/>
      <c r="D568" s="18"/>
      <c r="E568" s="25"/>
      <c r="F568" s="25"/>
      <c r="G568" s="25"/>
      <c r="H568" s="18"/>
      <c r="I568" s="25"/>
      <c r="J568" s="25"/>
      <c r="K568" s="25"/>
    </row>
    <row r="569" spans="1:11" ht="10.5">
      <c r="A569" s="34"/>
      <c r="B569" s="16"/>
      <c r="C569" s="25"/>
      <c r="D569" s="18"/>
      <c r="E569" s="25"/>
      <c r="F569" s="25"/>
      <c r="G569" s="25"/>
      <c r="H569" s="18"/>
      <c r="I569" s="25"/>
      <c r="J569" s="25"/>
      <c r="K569" s="25"/>
    </row>
    <row r="570" spans="1:11" ht="10.5">
      <c r="A570" s="34"/>
      <c r="B570" s="16"/>
      <c r="C570" s="25"/>
      <c r="D570" s="18"/>
      <c r="E570" s="25"/>
      <c r="F570" s="25"/>
      <c r="G570" s="25"/>
      <c r="H570" s="18"/>
      <c r="I570" s="25"/>
      <c r="J570" s="25"/>
      <c r="K570" s="25"/>
    </row>
    <row r="571" spans="1:11" ht="10.5">
      <c r="A571" s="34"/>
      <c r="B571" s="16"/>
      <c r="C571" s="25"/>
      <c r="D571" s="18"/>
      <c r="E571" s="25"/>
      <c r="F571" s="25"/>
      <c r="G571" s="25"/>
      <c r="H571" s="18"/>
      <c r="I571" s="25"/>
      <c r="J571" s="25"/>
      <c r="K571" s="25"/>
    </row>
    <row r="572" spans="1:11" ht="10.5">
      <c r="A572" s="34"/>
      <c r="B572" s="16"/>
      <c r="C572" s="25"/>
      <c r="D572" s="18"/>
      <c r="E572" s="25"/>
      <c r="F572" s="25"/>
      <c r="G572" s="25"/>
      <c r="H572" s="18"/>
      <c r="I572" s="25"/>
      <c r="J572" s="25"/>
      <c r="K572" s="25"/>
    </row>
    <row r="573" spans="1:11" ht="10.5">
      <c r="A573" s="34"/>
      <c r="B573" s="16"/>
      <c r="C573" s="25"/>
      <c r="D573" s="18"/>
      <c r="E573" s="25"/>
      <c r="F573" s="25"/>
      <c r="G573" s="25"/>
      <c r="H573" s="18"/>
      <c r="I573" s="25"/>
      <c r="J573" s="25"/>
      <c r="K573" s="25"/>
    </row>
    <row r="574" spans="1:11" ht="10.5">
      <c r="A574" s="34"/>
      <c r="B574" s="16"/>
      <c r="C574" s="25"/>
      <c r="D574" s="18"/>
      <c r="E574" s="25"/>
      <c r="F574" s="25"/>
      <c r="G574" s="25"/>
      <c r="H574" s="18"/>
      <c r="I574" s="25"/>
      <c r="J574" s="25"/>
      <c r="K574" s="25"/>
    </row>
    <row r="575" spans="1:11" ht="10.5">
      <c r="A575" s="34"/>
      <c r="B575" s="16"/>
      <c r="C575" s="25"/>
      <c r="D575" s="18"/>
      <c r="E575" s="25"/>
      <c r="F575" s="25"/>
      <c r="G575" s="25"/>
      <c r="H575" s="18"/>
      <c r="I575" s="25"/>
      <c r="J575" s="25"/>
      <c r="K575" s="25"/>
    </row>
    <row r="576" spans="1:11" ht="10.5">
      <c r="A576" s="34"/>
      <c r="B576" s="16"/>
      <c r="C576" s="25"/>
      <c r="D576" s="18"/>
      <c r="E576" s="25"/>
      <c r="F576" s="25"/>
      <c r="G576" s="25"/>
      <c r="H576" s="18"/>
      <c r="I576" s="25"/>
      <c r="J576" s="25"/>
      <c r="K576" s="25"/>
    </row>
    <row r="577" spans="1:11" ht="10.5">
      <c r="A577" s="34"/>
      <c r="B577" s="16"/>
      <c r="C577" s="25"/>
      <c r="D577" s="18"/>
      <c r="E577" s="25"/>
      <c r="F577" s="25"/>
      <c r="G577" s="25"/>
      <c r="H577" s="18"/>
      <c r="I577" s="25"/>
      <c r="J577" s="25"/>
      <c r="K577" s="25"/>
    </row>
    <row r="578" spans="1:11" ht="10.5">
      <c r="A578" s="34"/>
      <c r="B578" s="16"/>
      <c r="C578" s="25"/>
      <c r="D578" s="18"/>
      <c r="E578" s="25"/>
      <c r="F578" s="25"/>
      <c r="G578" s="25"/>
      <c r="H578" s="18"/>
      <c r="I578" s="25"/>
      <c r="J578" s="25"/>
      <c r="K578" s="25"/>
    </row>
    <row r="579" spans="1:11" ht="10.5">
      <c r="A579" s="34"/>
      <c r="B579" s="16"/>
      <c r="C579" s="25"/>
      <c r="D579" s="18"/>
      <c r="E579" s="25"/>
      <c r="F579" s="25"/>
      <c r="G579" s="25"/>
      <c r="H579" s="18"/>
      <c r="I579" s="25"/>
      <c r="J579" s="25"/>
      <c r="K579" s="25"/>
    </row>
    <row r="580" spans="1:11" ht="10.5">
      <c r="A580" s="34"/>
      <c r="B580" s="16"/>
      <c r="C580" s="25"/>
      <c r="D580" s="18"/>
      <c r="E580" s="25"/>
      <c r="F580" s="25"/>
      <c r="G580" s="25"/>
      <c r="H580" s="18"/>
      <c r="I580" s="25"/>
      <c r="J580" s="25"/>
      <c r="K580" s="25"/>
    </row>
    <row r="581" spans="1:11" ht="10.5">
      <c r="A581" s="34"/>
      <c r="B581" s="16"/>
      <c r="C581" s="25"/>
      <c r="D581" s="18"/>
      <c r="E581" s="25"/>
      <c r="F581" s="25"/>
      <c r="G581" s="25"/>
      <c r="H581" s="18"/>
      <c r="I581" s="25"/>
      <c r="J581" s="25"/>
      <c r="K581" s="25"/>
    </row>
    <row r="582" spans="1:11" ht="10.5">
      <c r="A582" s="34"/>
      <c r="B582" s="16"/>
      <c r="C582" s="25"/>
      <c r="D582" s="18"/>
      <c r="E582" s="25"/>
      <c r="F582" s="25"/>
      <c r="G582" s="25"/>
      <c r="H582" s="18"/>
      <c r="I582" s="25"/>
      <c r="J582" s="25"/>
      <c r="K582" s="25"/>
    </row>
    <row r="583" spans="1:11" ht="10.5">
      <c r="A583" s="34"/>
      <c r="B583" s="16"/>
      <c r="C583" s="25"/>
      <c r="D583" s="18"/>
      <c r="E583" s="25"/>
      <c r="F583" s="25"/>
      <c r="G583" s="25"/>
      <c r="H583" s="18"/>
      <c r="I583" s="25"/>
      <c r="J583" s="25"/>
      <c r="K583" s="25"/>
    </row>
    <row r="584" spans="1:11" ht="10.5">
      <c r="A584" s="34"/>
      <c r="B584" s="16"/>
      <c r="C584" s="25"/>
      <c r="D584" s="18"/>
      <c r="E584" s="25"/>
      <c r="F584" s="25"/>
      <c r="G584" s="25"/>
      <c r="H584" s="18"/>
      <c r="I584" s="25"/>
      <c r="J584" s="25"/>
      <c r="K584" s="25"/>
    </row>
    <row r="585" spans="1:11" ht="10.5">
      <c r="A585" s="34"/>
      <c r="B585" s="16"/>
      <c r="C585" s="25"/>
      <c r="D585" s="18"/>
      <c r="E585" s="25"/>
      <c r="F585" s="25"/>
      <c r="G585" s="25"/>
      <c r="H585" s="18"/>
      <c r="I585" s="25"/>
      <c r="J585" s="25"/>
      <c r="K585" s="25"/>
    </row>
    <row r="586" spans="1:11" ht="10.5">
      <c r="A586" s="34"/>
      <c r="B586" s="16"/>
      <c r="C586" s="25"/>
      <c r="D586" s="18"/>
      <c r="E586" s="25"/>
      <c r="F586" s="25"/>
      <c r="G586" s="25"/>
      <c r="H586" s="18"/>
      <c r="I586" s="25"/>
      <c r="J586" s="25"/>
      <c r="K586" s="25"/>
    </row>
    <row r="587" spans="1:11" ht="10.5">
      <c r="A587" s="34"/>
      <c r="B587" s="16"/>
      <c r="C587" s="25"/>
      <c r="D587" s="18"/>
      <c r="E587" s="25"/>
      <c r="F587" s="25"/>
      <c r="G587" s="25"/>
      <c r="H587" s="18"/>
      <c r="I587" s="25"/>
      <c r="J587" s="25"/>
      <c r="K587" s="25"/>
    </row>
    <row r="588" spans="1:11" ht="10.5">
      <c r="A588" s="34"/>
      <c r="B588" s="16"/>
      <c r="C588" s="25"/>
      <c r="D588" s="18"/>
      <c r="E588" s="25"/>
      <c r="F588" s="25"/>
      <c r="G588" s="25"/>
      <c r="H588" s="18"/>
      <c r="I588" s="25"/>
      <c r="J588" s="25"/>
      <c r="K588" s="25"/>
    </row>
    <row r="589" spans="1:11" ht="10.5">
      <c r="A589" s="34"/>
      <c r="B589" s="16"/>
      <c r="C589" s="25"/>
      <c r="D589" s="18"/>
      <c r="E589" s="25"/>
      <c r="F589" s="25"/>
      <c r="G589" s="25"/>
      <c r="H589" s="18"/>
      <c r="I589" s="25"/>
      <c r="J589" s="25"/>
      <c r="K589" s="25"/>
    </row>
    <row r="590" spans="1:11" ht="10.5">
      <c r="A590" s="34"/>
      <c r="B590" s="16"/>
      <c r="C590" s="25"/>
      <c r="D590" s="18"/>
      <c r="E590" s="25"/>
      <c r="F590" s="25"/>
      <c r="G590" s="25"/>
      <c r="H590" s="18"/>
      <c r="I590" s="25"/>
      <c r="J590" s="25"/>
      <c r="K590" s="25"/>
    </row>
    <row r="591" spans="1:11" ht="10.5">
      <c r="A591" s="34"/>
      <c r="B591" s="16"/>
      <c r="C591" s="25"/>
      <c r="D591" s="18"/>
      <c r="E591" s="25"/>
      <c r="F591" s="25"/>
      <c r="G591" s="25"/>
      <c r="H591" s="18"/>
      <c r="I591" s="25"/>
      <c r="J591" s="25"/>
      <c r="K591" s="25"/>
    </row>
    <row r="592" spans="1:11" ht="10.5">
      <c r="A592" s="34"/>
      <c r="B592" s="16"/>
      <c r="C592" s="25"/>
      <c r="D592" s="18"/>
      <c r="E592" s="25"/>
      <c r="F592" s="25"/>
      <c r="G592" s="25"/>
      <c r="H592" s="18"/>
      <c r="I592" s="25"/>
      <c r="J592" s="25"/>
      <c r="K592" s="25"/>
    </row>
    <row r="593" spans="1:11" ht="10.5">
      <c r="A593" s="34"/>
      <c r="B593" s="16"/>
      <c r="C593" s="25"/>
      <c r="D593" s="18"/>
      <c r="E593" s="25"/>
      <c r="F593" s="25"/>
      <c r="G593" s="25"/>
      <c r="H593" s="18"/>
      <c r="I593" s="25"/>
      <c r="J593" s="25"/>
      <c r="K593" s="25"/>
    </row>
    <row r="594" spans="1:11" ht="10.5">
      <c r="A594" s="34"/>
      <c r="B594" s="16"/>
      <c r="C594" s="25"/>
      <c r="D594" s="18"/>
      <c r="E594" s="25"/>
      <c r="F594" s="25"/>
      <c r="G594" s="25"/>
      <c r="H594" s="18"/>
      <c r="I594" s="25"/>
      <c r="J594" s="25"/>
      <c r="K594" s="25"/>
    </row>
    <row r="595" spans="1:11" ht="10.5">
      <c r="A595" s="34"/>
      <c r="B595" s="16"/>
      <c r="C595" s="25"/>
      <c r="D595" s="18"/>
      <c r="E595" s="25"/>
      <c r="F595" s="25"/>
      <c r="G595" s="25"/>
      <c r="H595" s="18"/>
      <c r="I595" s="25"/>
      <c r="J595" s="25"/>
      <c r="K595" s="25"/>
    </row>
    <row r="596" spans="1:11" ht="10.5">
      <c r="A596" s="34"/>
      <c r="B596" s="16"/>
      <c r="C596" s="25"/>
      <c r="D596" s="18"/>
      <c r="E596" s="25"/>
      <c r="F596" s="25"/>
      <c r="G596" s="25"/>
      <c r="H596" s="18"/>
      <c r="I596" s="25"/>
      <c r="J596" s="25"/>
      <c r="K596" s="25"/>
    </row>
    <row r="597" spans="1:11" ht="10.5">
      <c r="A597" s="34"/>
      <c r="B597" s="16"/>
      <c r="C597" s="25"/>
      <c r="D597" s="18"/>
      <c r="E597" s="25"/>
      <c r="F597" s="25"/>
      <c r="G597" s="25"/>
      <c r="H597" s="18"/>
      <c r="I597" s="25"/>
      <c r="J597" s="25"/>
      <c r="K597" s="25"/>
    </row>
    <row r="598" spans="1:11" ht="10.5">
      <c r="A598" s="34"/>
      <c r="B598" s="16"/>
      <c r="C598" s="25"/>
      <c r="D598" s="18"/>
      <c r="E598" s="25"/>
      <c r="F598" s="25"/>
      <c r="G598" s="25"/>
      <c r="H598" s="18"/>
      <c r="I598" s="25"/>
      <c r="J598" s="25"/>
      <c r="K598" s="25"/>
    </row>
    <row r="599" spans="1:11" ht="10.5">
      <c r="A599" s="34"/>
      <c r="B599" s="16"/>
      <c r="C599" s="25"/>
      <c r="D599" s="18"/>
      <c r="E599" s="25"/>
      <c r="F599" s="25"/>
      <c r="G599" s="25"/>
      <c r="H599" s="18"/>
      <c r="I599" s="25"/>
      <c r="J599" s="25"/>
      <c r="K599" s="25"/>
    </row>
    <row r="600" spans="1:11" ht="10.5">
      <c r="A600" s="34"/>
      <c r="B600" s="16"/>
      <c r="C600" s="25"/>
      <c r="D600" s="18"/>
      <c r="E600" s="25"/>
      <c r="F600" s="25"/>
      <c r="G600" s="25"/>
      <c r="H600" s="18"/>
      <c r="I600" s="25"/>
      <c r="J600" s="25"/>
      <c r="K600" s="25"/>
    </row>
    <row r="601" spans="1:11" ht="10.5">
      <c r="A601" s="34"/>
      <c r="B601" s="16"/>
      <c r="C601" s="25"/>
      <c r="D601" s="18"/>
      <c r="E601" s="25"/>
      <c r="F601" s="25"/>
      <c r="G601" s="25"/>
      <c r="H601" s="18"/>
      <c r="I601" s="25"/>
      <c r="J601" s="25"/>
      <c r="K601" s="25"/>
    </row>
    <row r="602" spans="1:11" ht="10.5">
      <c r="A602" s="34"/>
      <c r="B602" s="16"/>
      <c r="C602" s="25"/>
      <c r="D602" s="18"/>
      <c r="E602" s="25"/>
      <c r="F602" s="25"/>
      <c r="G602" s="25"/>
      <c r="H602" s="18"/>
      <c r="I602" s="25"/>
      <c r="J602" s="25"/>
      <c r="K602" s="25"/>
    </row>
    <row r="603" spans="1:11" ht="10.5">
      <c r="A603" s="34"/>
      <c r="B603" s="16"/>
      <c r="C603" s="25"/>
      <c r="D603" s="18"/>
      <c r="E603" s="25"/>
      <c r="F603" s="25"/>
      <c r="G603" s="25"/>
      <c r="H603" s="18"/>
      <c r="I603" s="25"/>
      <c r="J603" s="25"/>
      <c r="K603" s="25"/>
    </row>
    <row r="604" spans="1:11" ht="10.5">
      <c r="A604" s="34"/>
      <c r="B604" s="16"/>
      <c r="C604" s="25"/>
      <c r="D604" s="18"/>
      <c r="E604" s="25"/>
      <c r="F604" s="25"/>
      <c r="G604" s="25"/>
      <c r="H604" s="18"/>
      <c r="I604" s="25"/>
      <c r="J604" s="25"/>
      <c r="K604" s="25"/>
    </row>
    <row r="605" spans="1:11" ht="10.5">
      <c r="A605" s="34"/>
      <c r="B605" s="16"/>
      <c r="C605" s="25"/>
      <c r="D605" s="18"/>
      <c r="E605" s="25"/>
      <c r="F605" s="25"/>
      <c r="G605" s="25"/>
      <c r="H605" s="18"/>
      <c r="I605" s="25"/>
      <c r="J605" s="25"/>
      <c r="K605" s="25"/>
    </row>
    <row r="606" spans="1:11" ht="10.5">
      <c r="A606" s="34"/>
      <c r="B606" s="16"/>
      <c r="C606" s="25"/>
      <c r="D606" s="18"/>
      <c r="E606" s="25"/>
      <c r="F606" s="25"/>
      <c r="G606" s="25"/>
      <c r="H606" s="18"/>
      <c r="I606" s="25"/>
      <c r="J606" s="25"/>
      <c r="K606" s="25"/>
    </row>
    <row r="607" spans="1:11" ht="10.5">
      <c r="A607" s="34"/>
      <c r="B607" s="16"/>
      <c r="C607" s="25"/>
      <c r="D607" s="18"/>
      <c r="E607" s="25"/>
      <c r="F607" s="25"/>
      <c r="G607" s="25"/>
      <c r="H607" s="18"/>
      <c r="I607" s="25"/>
      <c r="J607" s="25"/>
      <c r="K607" s="25"/>
    </row>
    <row r="608" spans="1:11" ht="10.5">
      <c r="A608" s="34"/>
      <c r="B608" s="16"/>
      <c r="C608" s="25"/>
      <c r="D608" s="18"/>
      <c r="E608" s="25"/>
      <c r="F608" s="25"/>
      <c r="G608" s="25"/>
      <c r="H608" s="18"/>
      <c r="I608" s="25"/>
      <c r="J608" s="25"/>
      <c r="K608" s="25"/>
    </row>
    <row r="609" spans="1:11" ht="10.5">
      <c r="A609" s="34"/>
      <c r="B609" s="16"/>
      <c r="C609" s="25"/>
      <c r="D609" s="18"/>
      <c r="E609" s="25"/>
      <c r="F609" s="25"/>
      <c r="G609" s="25"/>
      <c r="H609" s="18"/>
      <c r="I609" s="25"/>
      <c r="J609" s="25"/>
      <c r="K609" s="25"/>
    </row>
    <row r="610" spans="1:11" ht="10.5">
      <c r="A610" s="34"/>
      <c r="B610" s="16"/>
      <c r="C610" s="25"/>
      <c r="D610" s="18"/>
      <c r="E610" s="25"/>
      <c r="F610" s="25"/>
      <c r="G610" s="25"/>
      <c r="H610" s="18"/>
      <c r="I610" s="25"/>
      <c r="J610" s="25"/>
      <c r="K610" s="25"/>
    </row>
    <row r="611" spans="1:11" ht="10.5">
      <c r="A611" s="34"/>
      <c r="B611" s="16"/>
      <c r="C611" s="25"/>
      <c r="D611" s="18"/>
      <c r="E611" s="25"/>
      <c r="F611" s="25"/>
      <c r="G611" s="25"/>
      <c r="H611" s="18"/>
      <c r="I611" s="25"/>
      <c r="J611" s="25"/>
      <c r="K611" s="25"/>
    </row>
    <row r="612" spans="1:11" ht="10.5">
      <c r="A612" s="34"/>
      <c r="B612" s="16"/>
      <c r="C612" s="25"/>
      <c r="D612" s="18"/>
      <c r="E612" s="25"/>
      <c r="F612" s="25"/>
      <c r="G612" s="25"/>
      <c r="H612" s="18"/>
      <c r="I612" s="25"/>
      <c r="J612" s="25"/>
      <c r="K612" s="25"/>
    </row>
    <row r="613" spans="1:11" ht="10.5">
      <c r="A613" s="34"/>
      <c r="B613" s="16"/>
      <c r="C613" s="25"/>
      <c r="D613" s="18"/>
      <c r="E613" s="25"/>
      <c r="F613" s="25"/>
      <c r="G613" s="25"/>
      <c r="H613" s="18"/>
      <c r="I613" s="25"/>
      <c r="J613" s="25"/>
      <c r="K613" s="25"/>
    </row>
    <row r="614" spans="1:11" ht="10.5">
      <c r="A614" s="34"/>
      <c r="B614" s="16"/>
      <c r="C614" s="25"/>
      <c r="D614" s="18"/>
      <c r="E614" s="25"/>
      <c r="F614" s="25"/>
      <c r="G614" s="25"/>
      <c r="H614" s="18"/>
      <c r="I614" s="25"/>
      <c r="J614" s="25"/>
      <c r="K614" s="25"/>
    </row>
    <row r="615" spans="1:11" ht="10.5">
      <c r="A615" s="34"/>
      <c r="B615" s="16"/>
      <c r="C615" s="25"/>
      <c r="D615" s="18"/>
      <c r="E615" s="25"/>
      <c r="F615" s="25"/>
      <c r="G615" s="25"/>
      <c r="H615" s="18"/>
      <c r="I615" s="25"/>
      <c r="J615" s="25"/>
      <c r="K615" s="25"/>
    </row>
    <row r="616" spans="1:11" ht="10.5">
      <c r="A616" s="34"/>
      <c r="B616" s="16"/>
      <c r="C616" s="25"/>
      <c r="D616" s="18"/>
      <c r="E616" s="25"/>
      <c r="F616" s="25"/>
      <c r="G616" s="25"/>
      <c r="H616" s="18"/>
      <c r="I616" s="25"/>
      <c r="J616" s="25"/>
      <c r="K616" s="25"/>
    </row>
    <row r="617" spans="1:11" ht="10.5">
      <c r="A617" s="34"/>
      <c r="B617" s="16"/>
      <c r="C617" s="25"/>
      <c r="D617" s="18"/>
      <c r="E617" s="25"/>
      <c r="F617" s="25"/>
      <c r="G617" s="25"/>
      <c r="H617" s="18"/>
      <c r="I617" s="25"/>
      <c r="J617" s="25"/>
      <c r="K617" s="25"/>
    </row>
    <row r="618" spans="1:11" ht="10.5">
      <c r="A618" s="34"/>
      <c r="B618" s="16"/>
      <c r="C618" s="25"/>
      <c r="D618" s="18"/>
      <c r="E618" s="25"/>
      <c r="F618" s="25"/>
      <c r="G618" s="25"/>
      <c r="H618" s="18"/>
      <c r="I618" s="25"/>
      <c r="J618" s="25"/>
      <c r="K618" s="25"/>
    </row>
    <row r="619" spans="1:11" ht="10.5">
      <c r="A619" s="34"/>
      <c r="B619" s="16"/>
      <c r="C619" s="25"/>
      <c r="D619" s="18"/>
      <c r="E619" s="25"/>
      <c r="F619" s="25"/>
      <c r="G619" s="25"/>
      <c r="H619" s="18"/>
      <c r="I619" s="25"/>
      <c r="J619" s="25"/>
      <c r="K619" s="25"/>
    </row>
    <row r="620" spans="1:11" ht="10.5">
      <c r="A620" s="34"/>
      <c r="B620" s="16"/>
      <c r="C620" s="25"/>
      <c r="D620" s="18"/>
      <c r="E620" s="25"/>
      <c r="F620" s="25"/>
      <c r="G620" s="25"/>
      <c r="H620" s="18"/>
      <c r="I620" s="25"/>
      <c r="J620" s="25"/>
      <c r="K620" s="25"/>
    </row>
    <row r="621" spans="1:11" ht="10.5">
      <c r="A621" s="34"/>
      <c r="B621" s="16"/>
      <c r="C621" s="25"/>
      <c r="D621" s="18"/>
      <c r="E621" s="25"/>
      <c r="F621" s="25"/>
      <c r="G621" s="25"/>
      <c r="H621" s="18"/>
      <c r="I621" s="25"/>
      <c r="J621" s="25"/>
      <c r="K621" s="25"/>
    </row>
    <row r="622" spans="1:11" ht="10.5">
      <c r="A622" s="34"/>
      <c r="B622" s="16"/>
      <c r="C622" s="25"/>
      <c r="D622" s="18"/>
      <c r="E622" s="25"/>
      <c r="F622" s="25"/>
      <c r="G622" s="25"/>
      <c r="H622" s="18"/>
      <c r="I622" s="25"/>
      <c r="J622" s="25"/>
      <c r="K622" s="25"/>
    </row>
    <row r="623" spans="1:11" ht="10.5">
      <c r="A623" s="34"/>
      <c r="B623" s="16"/>
      <c r="C623" s="25"/>
      <c r="D623" s="18"/>
      <c r="E623" s="25"/>
      <c r="F623" s="25"/>
      <c r="G623" s="25"/>
      <c r="H623" s="18"/>
      <c r="I623" s="25"/>
      <c r="J623" s="25"/>
      <c r="K623" s="25"/>
    </row>
    <row r="624" spans="1:11" ht="10.5">
      <c r="A624" s="34"/>
      <c r="B624" s="16"/>
      <c r="C624" s="25"/>
      <c r="D624" s="18"/>
      <c r="E624" s="25"/>
      <c r="F624" s="25"/>
      <c r="G624" s="25"/>
      <c r="H624" s="18"/>
      <c r="I624" s="25"/>
      <c r="J624" s="25"/>
      <c r="K624" s="25"/>
    </row>
    <row r="625" spans="1:11" ht="10.5">
      <c r="A625" s="34"/>
      <c r="B625" s="16"/>
      <c r="C625" s="25"/>
      <c r="D625" s="18"/>
      <c r="E625" s="25"/>
      <c r="F625" s="25"/>
      <c r="G625" s="25"/>
      <c r="H625" s="18"/>
      <c r="I625" s="25"/>
      <c r="J625" s="25"/>
      <c r="K625" s="25"/>
    </row>
    <row r="626" spans="1:11" ht="10.5">
      <c r="A626" s="34"/>
      <c r="B626" s="16"/>
      <c r="C626" s="25"/>
      <c r="D626" s="18"/>
      <c r="E626" s="25"/>
      <c r="F626" s="25"/>
      <c r="G626" s="25"/>
      <c r="H626" s="18"/>
      <c r="I626" s="25"/>
      <c r="J626" s="25"/>
      <c r="K626" s="25"/>
    </row>
    <row r="627" spans="1:11" ht="10.5">
      <c r="A627" s="34"/>
      <c r="B627" s="16"/>
      <c r="C627" s="25"/>
      <c r="D627" s="18"/>
      <c r="E627" s="25"/>
      <c r="F627" s="25"/>
      <c r="G627" s="25"/>
      <c r="H627" s="18"/>
      <c r="I627" s="25"/>
      <c r="J627" s="25"/>
      <c r="K627" s="25"/>
    </row>
    <row r="628" spans="1:11" ht="10.5">
      <c r="A628" s="34"/>
      <c r="B628" s="16"/>
      <c r="C628" s="25"/>
      <c r="D628" s="18"/>
      <c r="E628" s="25"/>
      <c r="F628" s="25"/>
      <c r="G628" s="25"/>
      <c r="H628" s="18"/>
      <c r="I628" s="25"/>
      <c r="J628" s="25"/>
      <c r="K628" s="25"/>
    </row>
    <row r="629" spans="1:11" ht="10.5">
      <c r="A629" s="34"/>
      <c r="B629" s="16"/>
      <c r="C629" s="25"/>
      <c r="D629" s="18"/>
      <c r="E629" s="25"/>
      <c r="F629" s="25"/>
      <c r="G629" s="25"/>
      <c r="H629" s="18"/>
      <c r="I629" s="25"/>
      <c r="J629" s="25"/>
      <c r="K629" s="25"/>
    </row>
    <row r="630" spans="1:11" ht="10.5">
      <c r="A630" s="34"/>
      <c r="B630" s="16"/>
      <c r="C630" s="25"/>
      <c r="D630" s="18"/>
      <c r="E630" s="25"/>
      <c r="F630" s="25"/>
      <c r="G630" s="25"/>
      <c r="H630" s="18"/>
      <c r="I630" s="25"/>
      <c r="J630" s="25"/>
      <c r="K630" s="25"/>
    </row>
    <row r="631" spans="1:11" ht="10.5">
      <c r="A631" s="34"/>
      <c r="B631" s="16"/>
      <c r="C631" s="25"/>
      <c r="D631" s="18"/>
      <c r="E631" s="25"/>
      <c r="F631" s="25"/>
      <c r="G631" s="25"/>
      <c r="H631" s="18"/>
      <c r="I631" s="25"/>
      <c r="J631" s="25"/>
      <c r="K631" s="25"/>
    </row>
    <row r="632" spans="1:11" ht="10.5">
      <c r="A632" s="34"/>
      <c r="B632" s="16"/>
      <c r="C632" s="25"/>
      <c r="D632" s="18"/>
      <c r="E632" s="25"/>
      <c r="F632" s="25"/>
      <c r="G632" s="25"/>
      <c r="H632" s="18"/>
      <c r="I632" s="25"/>
      <c r="J632" s="25"/>
      <c r="K632" s="25"/>
    </row>
    <row r="633" spans="1:11" ht="10.5">
      <c r="A633" s="34"/>
      <c r="B633" s="16"/>
      <c r="C633" s="25"/>
      <c r="D633" s="18"/>
      <c r="E633" s="25"/>
      <c r="F633" s="25"/>
      <c r="G633" s="25"/>
      <c r="H633" s="18"/>
      <c r="I633" s="25"/>
      <c r="J633" s="25"/>
      <c r="K633" s="25"/>
    </row>
    <row r="634" spans="1:11" ht="10.5">
      <c r="A634" s="34"/>
      <c r="B634" s="16"/>
      <c r="C634" s="25"/>
      <c r="D634" s="18"/>
      <c r="E634" s="25"/>
      <c r="F634" s="25"/>
      <c r="G634" s="25"/>
      <c r="H634" s="18"/>
      <c r="I634" s="25"/>
      <c r="J634" s="25"/>
      <c r="K634" s="25"/>
    </row>
    <row r="635" spans="1:11" ht="10.5">
      <c r="A635" s="34"/>
      <c r="B635" s="16"/>
      <c r="C635" s="25"/>
      <c r="D635" s="18"/>
      <c r="E635" s="25"/>
      <c r="F635" s="25"/>
      <c r="G635" s="25"/>
      <c r="H635" s="18"/>
      <c r="I635" s="25"/>
      <c r="J635" s="25"/>
      <c r="K635" s="25"/>
    </row>
    <row r="636" spans="1:11" ht="10.5">
      <c r="A636" s="34"/>
      <c r="B636" s="16"/>
      <c r="C636" s="25"/>
      <c r="D636" s="18"/>
      <c r="E636" s="25"/>
      <c r="F636" s="25"/>
      <c r="G636" s="25"/>
      <c r="H636" s="18"/>
      <c r="I636" s="25"/>
      <c r="J636" s="25"/>
      <c r="K636" s="25"/>
    </row>
    <row r="637" spans="1:11" ht="10.5">
      <c r="A637" s="34"/>
      <c r="B637" s="16"/>
      <c r="C637" s="25"/>
      <c r="D637" s="18"/>
      <c r="E637" s="25"/>
      <c r="F637" s="25"/>
      <c r="G637" s="25"/>
      <c r="H637" s="18"/>
      <c r="I637" s="25"/>
      <c r="J637" s="25"/>
      <c r="K637" s="25"/>
    </row>
    <row r="638" spans="1:11" ht="10.5">
      <c r="A638" s="34"/>
      <c r="B638" s="16"/>
      <c r="C638" s="25"/>
      <c r="D638" s="18"/>
      <c r="E638" s="25"/>
      <c r="F638" s="25"/>
      <c r="G638" s="25"/>
      <c r="H638" s="18"/>
      <c r="I638" s="25"/>
      <c r="J638" s="25"/>
      <c r="K638" s="25"/>
    </row>
    <row r="639" spans="1:11" ht="10.5">
      <c r="A639" s="34"/>
      <c r="B639" s="16"/>
      <c r="C639" s="25"/>
      <c r="D639" s="18"/>
      <c r="E639" s="25"/>
      <c r="F639" s="25"/>
      <c r="G639" s="25"/>
      <c r="H639" s="18"/>
      <c r="I639" s="25"/>
      <c r="J639" s="25"/>
      <c r="K639" s="25"/>
    </row>
    <row r="640" spans="1:11" ht="10.5">
      <c r="A640" s="34"/>
      <c r="B640" s="16"/>
      <c r="C640" s="25"/>
      <c r="D640" s="18"/>
      <c r="E640" s="25"/>
      <c r="F640" s="25"/>
      <c r="G640" s="25"/>
      <c r="H640" s="18"/>
      <c r="I640" s="25"/>
      <c r="J640" s="25"/>
      <c r="K640" s="25"/>
    </row>
    <row r="641" spans="1:11" ht="10.5">
      <c r="A641" s="34"/>
      <c r="B641" s="16"/>
      <c r="C641" s="25"/>
      <c r="D641" s="18"/>
      <c r="E641" s="25"/>
      <c r="F641" s="25"/>
      <c r="G641" s="25"/>
      <c r="H641" s="18"/>
      <c r="I641" s="25"/>
      <c r="J641" s="25"/>
      <c r="K641" s="25"/>
    </row>
    <row r="642" spans="1:11" ht="10.5">
      <c r="A642" s="34"/>
      <c r="B642" s="16"/>
      <c r="C642" s="25"/>
      <c r="D642" s="18"/>
      <c r="E642" s="25"/>
      <c r="F642" s="25"/>
      <c r="G642" s="25"/>
      <c r="H642" s="18"/>
      <c r="I642" s="25"/>
      <c r="J642" s="25"/>
      <c r="K642" s="25"/>
    </row>
    <row r="643" spans="1:11" ht="10.5">
      <c r="A643" s="34"/>
      <c r="B643" s="16"/>
      <c r="C643" s="25"/>
      <c r="D643" s="18"/>
      <c r="E643" s="25"/>
      <c r="F643" s="25"/>
      <c r="G643" s="25"/>
      <c r="H643" s="18"/>
      <c r="I643" s="25"/>
      <c r="J643" s="25"/>
      <c r="K643" s="25"/>
    </row>
    <row r="644" spans="1:11" ht="10.5">
      <c r="A644" s="34"/>
      <c r="B644" s="16"/>
      <c r="C644" s="25"/>
      <c r="D644" s="18"/>
      <c r="E644" s="25"/>
      <c r="F644" s="25"/>
      <c r="G644" s="25"/>
      <c r="H644" s="18"/>
      <c r="I644" s="25"/>
      <c r="J644" s="25"/>
      <c r="K644" s="25"/>
    </row>
    <row r="645" spans="1:11" ht="10.5">
      <c r="A645" s="34"/>
      <c r="B645" s="16"/>
      <c r="C645" s="25"/>
      <c r="D645" s="18"/>
      <c r="E645" s="25"/>
      <c r="F645" s="25"/>
      <c r="G645" s="25"/>
      <c r="H645" s="18"/>
      <c r="I645" s="25"/>
      <c r="J645" s="25"/>
      <c r="K645" s="25"/>
    </row>
    <row r="646" spans="1:11" ht="10.5">
      <c r="A646" s="34"/>
      <c r="B646" s="16"/>
      <c r="C646" s="25"/>
      <c r="D646" s="18"/>
      <c r="E646" s="25"/>
      <c r="F646" s="25"/>
      <c r="G646" s="25"/>
      <c r="H646" s="18"/>
      <c r="I646" s="25"/>
      <c r="J646" s="25"/>
      <c r="K646" s="25"/>
    </row>
    <row r="647" spans="1:11" ht="10.5">
      <c r="A647" s="34"/>
      <c r="B647" s="16"/>
      <c r="C647" s="25"/>
      <c r="D647" s="18"/>
      <c r="E647" s="25"/>
      <c r="F647" s="25"/>
      <c r="G647" s="25"/>
      <c r="H647" s="18"/>
      <c r="I647" s="25"/>
      <c r="J647" s="25"/>
      <c r="K647" s="25"/>
    </row>
    <row r="648" spans="1:11" ht="10.5">
      <c r="A648" s="34"/>
      <c r="B648" s="16"/>
      <c r="C648" s="25"/>
      <c r="D648" s="18"/>
      <c r="E648" s="25"/>
      <c r="F648" s="25"/>
      <c r="G648" s="25"/>
      <c r="H648" s="18"/>
      <c r="I648" s="25"/>
      <c r="J648" s="25"/>
      <c r="K648" s="25"/>
    </row>
    <row r="649" spans="1:11" ht="10.5">
      <c r="A649" s="34"/>
      <c r="B649" s="16"/>
      <c r="C649" s="25"/>
      <c r="D649" s="18"/>
      <c r="E649" s="25"/>
      <c r="F649" s="25"/>
      <c r="G649" s="25"/>
      <c r="H649" s="18"/>
      <c r="I649" s="25"/>
      <c r="J649" s="25"/>
      <c r="K649" s="25"/>
    </row>
    <row r="650" spans="1:11" ht="10.5">
      <c r="A650" s="34"/>
      <c r="B650" s="16"/>
      <c r="C650" s="25"/>
      <c r="D650" s="18"/>
      <c r="E650" s="25"/>
      <c r="F650" s="25"/>
      <c r="G650" s="25"/>
      <c r="H650" s="18"/>
      <c r="I650" s="25"/>
      <c r="J650" s="25"/>
      <c r="K650" s="25"/>
    </row>
    <row r="651" spans="1:11" ht="10.5">
      <c r="A651" s="34"/>
      <c r="B651" s="16"/>
      <c r="C651" s="25"/>
      <c r="D651" s="18"/>
      <c r="E651" s="25"/>
      <c r="F651" s="25"/>
      <c r="G651" s="25"/>
      <c r="H651" s="18"/>
      <c r="I651" s="25"/>
      <c r="J651" s="25"/>
      <c r="K651" s="25"/>
    </row>
    <row r="652" spans="1:11" ht="10.5">
      <c r="A652" s="34"/>
      <c r="B652" s="16"/>
      <c r="C652" s="25"/>
      <c r="D652" s="18"/>
      <c r="E652" s="25"/>
      <c r="F652" s="25"/>
      <c r="G652" s="25"/>
      <c r="H652" s="18"/>
      <c r="I652" s="25"/>
      <c r="J652" s="25"/>
      <c r="K652" s="25"/>
    </row>
    <row r="653" spans="1:11" ht="10.5">
      <c r="A653" s="34"/>
      <c r="B653" s="16"/>
      <c r="C653" s="25"/>
      <c r="D653" s="18"/>
      <c r="E653" s="25"/>
      <c r="F653" s="25"/>
      <c r="G653" s="25"/>
      <c r="H653" s="18"/>
      <c r="I653" s="25"/>
      <c r="J653" s="25"/>
      <c r="K653" s="25"/>
    </row>
    <row r="654" spans="1:11" ht="10.5">
      <c r="A654" s="34"/>
      <c r="B654" s="16"/>
      <c r="C654" s="25"/>
      <c r="D654" s="18"/>
      <c r="E654" s="25"/>
      <c r="F654" s="25"/>
      <c r="G654" s="25"/>
      <c r="H654" s="18"/>
      <c r="I654" s="25"/>
      <c r="J654" s="25"/>
      <c r="K654" s="25"/>
    </row>
    <row r="655" spans="1:11" ht="10.5">
      <c r="A655" s="34"/>
      <c r="B655" s="16"/>
      <c r="C655" s="25"/>
      <c r="D655" s="18"/>
      <c r="E655" s="25"/>
      <c r="F655" s="25"/>
      <c r="G655" s="25"/>
      <c r="H655" s="18"/>
      <c r="I655" s="25"/>
      <c r="J655" s="25"/>
      <c r="K655" s="25"/>
    </row>
    <row r="656" spans="1:11" ht="10.5">
      <c r="A656" s="34"/>
      <c r="B656" s="16"/>
      <c r="C656" s="25"/>
      <c r="D656" s="18"/>
      <c r="E656" s="25"/>
      <c r="F656" s="25"/>
      <c r="G656" s="25"/>
      <c r="H656" s="18"/>
      <c r="I656" s="25"/>
      <c r="J656" s="25"/>
      <c r="K656" s="25"/>
    </row>
    <row r="657" spans="1:11" ht="10.5">
      <c r="A657" s="34"/>
      <c r="B657" s="16"/>
      <c r="C657" s="25"/>
      <c r="D657" s="18"/>
      <c r="E657" s="25"/>
      <c r="F657" s="25"/>
      <c r="G657" s="25"/>
      <c r="H657" s="18"/>
      <c r="I657" s="25"/>
      <c r="J657" s="25"/>
      <c r="K657" s="25"/>
    </row>
    <row r="658" spans="1:11" ht="10.5">
      <c r="A658" s="34"/>
      <c r="B658" s="16"/>
      <c r="C658" s="25"/>
      <c r="D658" s="18"/>
      <c r="E658" s="25"/>
      <c r="F658" s="25"/>
      <c r="G658" s="25"/>
      <c r="H658" s="18"/>
      <c r="I658" s="25"/>
      <c r="J658" s="25"/>
      <c r="K658" s="25"/>
    </row>
    <row r="659" spans="1:11" ht="10.5">
      <c r="A659" s="34"/>
      <c r="B659" s="16"/>
      <c r="C659" s="25"/>
      <c r="D659" s="18"/>
      <c r="E659" s="25"/>
      <c r="F659" s="25"/>
      <c r="G659" s="25"/>
      <c r="H659" s="18"/>
      <c r="I659" s="25"/>
      <c r="J659" s="25"/>
      <c r="K659" s="25"/>
    </row>
    <row r="660" spans="1:11" ht="10.5">
      <c r="A660" s="34"/>
      <c r="B660" s="16"/>
      <c r="C660" s="25"/>
      <c r="D660" s="18"/>
      <c r="E660" s="25"/>
      <c r="F660" s="25"/>
      <c r="G660" s="25"/>
      <c r="H660" s="18"/>
      <c r="I660" s="25"/>
      <c r="J660" s="25"/>
      <c r="K660" s="25"/>
    </row>
    <row r="661" spans="1:11" ht="10.5">
      <c r="A661" s="34"/>
      <c r="B661" s="16"/>
      <c r="C661" s="25"/>
      <c r="D661" s="18"/>
      <c r="E661" s="25"/>
      <c r="F661" s="25"/>
      <c r="G661" s="25"/>
      <c r="H661" s="18"/>
      <c r="I661" s="25"/>
      <c r="J661" s="25"/>
      <c r="K661" s="25"/>
    </row>
    <row r="662" spans="1:11" ht="10.5">
      <c r="A662" s="34"/>
      <c r="B662" s="16"/>
      <c r="C662" s="25"/>
      <c r="D662" s="18"/>
      <c r="E662" s="25"/>
      <c r="F662" s="25"/>
      <c r="G662" s="25"/>
      <c r="H662" s="18"/>
      <c r="I662" s="25"/>
      <c r="J662" s="25"/>
      <c r="K662" s="25"/>
    </row>
    <row r="663" spans="1:11" ht="10.5">
      <c r="A663" s="34"/>
      <c r="B663" s="16"/>
      <c r="C663" s="25"/>
      <c r="D663" s="18"/>
      <c r="E663" s="25"/>
      <c r="F663" s="25"/>
      <c r="G663" s="25"/>
      <c r="H663" s="18"/>
      <c r="I663" s="25"/>
      <c r="J663" s="25"/>
      <c r="K663" s="25"/>
    </row>
    <row r="664" spans="1:11" ht="10.5">
      <c r="A664" s="34"/>
      <c r="B664" s="16"/>
      <c r="C664" s="25"/>
      <c r="D664" s="18"/>
      <c r="E664" s="25"/>
      <c r="F664" s="25"/>
      <c r="G664" s="25"/>
      <c r="H664" s="18"/>
      <c r="I664" s="25"/>
      <c r="J664" s="25"/>
      <c r="K664" s="25"/>
    </row>
    <row r="665" spans="1:11" ht="10.5">
      <c r="A665" s="34"/>
      <c r="B665" s="16"/>
      <c r="C665" s="25"/>
      <c r="D665" s="18"/>
      <c r="E665" s="25"/>
      <c r="F665" s="25"/>
      <c r="G665" s="25"/>
      <c r="H665" s="18"/>
      <c r="I665" s="25"/>
      <c r="J665" s="25"/>
      <c r="K665" s="25"/>
    </row>
    <row r="666" spans="1:11" ht="10.5">
      <c r="A666" s="34"/>
      <c r="B666" s="16"/>
      <c r="C666" s="25"/>
      <c r="D666" s="18"/>
      <c r="E666" s="25"/>
      <c r="F666" s="25"/>
      <c r="G666" s="25"/>
      <c r="H666" s="18"/>
      <c r="I666" s="25"/>
      <c r="J666" s="25"/>
      <c r="K666" s="25"/>
    </row>
    <row r="667" spans="1:11" ht="10.5">
      <c r="A667" s="34"/>
      <c r="B667" s="16"/>
      <c r="C667" s="25"/>
      <c r="D667" s="18"/>
      <c r="E667" s="25"/>
      <c r="F667" s="25"/>
      <c r="G667" s="25"/>
      <c r="H667" s="18"/>
      <c r="I667" s="25"/>
      <c r="J667" s="25"/>
      <c r="K667" s="25"/>
    </row>
    <row r="668" spans="1:11" ht="10.5">
      <c r="A668" s="34"/>
      <c r="B668" s="16"/>
      <c r="C668" s="25"/>
      <c r="D668" s="18"/>
      <c r="E668" s="25"/>
      <c r="F668" s="25"/>
      <c r="G668" s="25"/>
      <c r="H668" s="18"/>
      <c r="I668" s="25"/>
      <c r="J668" s="25"/>
      <c r="K668" s="25"/>
    </row>
    <row r="669" spans="1:11" ht="10.5">
      <c r="A669" s="34"/>
      <c r="B669" s="16"/>
      <c r="C669" s="25"/>
      <c r="D669" s="18"/>
      <c r="E669" s="25"/>
      <c r="F669" s="25"/>
      <c r="G669" s="25"/>
      <c r="H669" s="18"/>
      <c r="I669" s="25"/>
      <c r="J669" s="25"/>
      <c r="K669" s="25"/>
    </row>
    <row r="670" spans="1:11" ht="10.5">
      <c r="A670" s="34"/>
      <c r="B670" s="16"/>
      <c r="C670" s="25"/>
      <c r="D670" s="18"/>
      <c r="E670" s="25"/>
      <c r="F670" s="25"/>
      <c r="G670" s="25"/>
      <c r="H670" s="18"/>
      <c r="I670" s="25"/>
      <c r="J670" s="25"/>
      <c r="K670" s="25"/>
    </row>
    <row r="671" spans="1:11" ht="10.5">
      <c r="A671" s="34"/>
      <c r="B671" s="16"/>
      <c r="C671" s="25"/>
      <c r="D671" s="18"/>
      <c r="E671" s="25"/>
      <c r="F671" s="25"/>
      <c r="G671" s="25"/>
      <c r="H671" s="18"/>
      <c r="I671" s="25"/>
      <c r="J671" s="25"/>
      <c r="K671" s="25"/>
    </row>
    <row r="672" spans="1:11" ht="10.5">
      <c r="A672" s="34"/>
      <c r="B672" s="16"/>
      <c r="C672" s="25"/>
      <c r="D672" s="18"/>
      <c r="E672" s="25"/>
      <c r="F672" s="25"/>
      <c r="G672" s="25"/>
      <c r="H672" s="18"/>
      <c r="I672" s="25"/>
      <c r="J672" s="25"/>
      <c r="K672" s="25"/>
    </row>
    <row r="673" spans="1:11" ht="10.5">
      <c r="A673" s="34"/>
      <c r="B673" s="16"/>
      <c r="C673" s="25"/>
      <c r="D673" s="18"/>
      <c r="E673" s="25"/>
      <c r="F673" s="25"/>
      <c r="G673" s="25"/>
      <c r="H673" s="18"/>
      <c r="I673" s="25"/>
      <c r="J673" s="25"/>
      <c r="K673" s="25"/>
    </row>
    <row r="674" spans="1:11" ht="10.5">
      <c r="A674" s="34"/>
      <c r="B674" s="16"/>
      <c r="C674" s="25"/>
      <c r="D674" s="18"/>
      <c r="E674" s="25"/>
      <c r="F674" s="25"/>
      <c r="G674" s="25"/>
      <c r="H674" s="18"/>
      <c r="I674" s="25"/>
      <c r="J674" s="25"/>
      <c r="K674" s="25"/>
    </row>
    <row r="675" spans="1:11" ht="10.5">
      <c r="A675" s="34"/>
      <c r="B675" s="16"/>
      <c r="C675" s="25"/>
      <c r="D675" s="18"/>
      <c r="E675" s="25"/>
      <c r="F675" s="25"/>
      <c r="G675" s="25"/>
      <c r="H675" s="18"/>
      <c r="I675" s="25"/>
      <c r="J675" s="25"/>
      <c r="K675" s="25"/>
    </row>
    <row r="676" spans="1:11" ht="10.5">
      <c r="A676" s="34"/>
      <c r="B676" s="16"/>
      <c r="C676" s="25"/>
      <c r="D676" s="18"/>
      <c r="E676" s="25"/>
      <c r="F676" s="25"/>
      <c r="G676" s="25"/>
      <c r="H676" s="18"/>
      <c r="I676" s="25"/>
      <c r="J676" s="25"/>
      <c r="K676" s="25"/>
    </row>
    <row r="677" spans="1:11" ht="10.5">
      <c r="A677" s="34"/>
      <c r="B677" s="16"/>
      <c r="C677" s="25"/>
      <c r="D677" s="18"/>
      <c r="E677" s="25"/>
      <c r="F677" s="25"/>
      <c r="G677" s="25"/>
      <c r="H677" s="18"/>
      <c r="I677" s="25"/>
      <c r="J677" s="25"/>
      <c r="K677" s="25"/>
    </row>
    <row r="678" spans="1:11" ht="10.5">
      <c r="A678" s="34"/>
      <c r="B678" s="16"/>
      <c r="C678" s="25"/>
      <c r="D678" s="18"/>
      <c r="E678" s="25"/>
      <c r="F678" s="25"/>
      <c r="G678" s="25"/>
      <c r="H678" s="18"/>
      <c r="I678" s="25"/>
      <c r="J678" s="25"/>
      <c r="K678" s="25"/>
    </row>
    <row r="679" spans="1:11" ht="10.5">
      <c r="A679" s="34"/>
      <c r="B679" s="16"/>
      <c r="C679" s="25"/>
      <c r="D679" s="18"/>
      <c r="E679" s="25"/>
      <c r="F679" s="25"/>
      <c r="G679" s="25"/>
      <c r="H679" s="18"/>
      <c r="I679" s="25"/>
      <c r="J679" s="25"/>
      <c r="K679" s="25"/>
    </row>
    <row r="680" spans="1:11" ht="10.5">
      <c r="A680" s="34"/>
      <c r="B680" s="16"/>
      <c r="C680" s="25"/>
      <c r="D680" s="18"/>
      <c r="E680" s="25"/>
      <c r="F680" s="25"/>
      <c r="G680" s="25"/>
      <c r="H680" s="18"/>
      <c r="I680" s="25"/>
      <c r="J680" s="25"/>
      <c r="K680" s="25"/>
    </row>
    <row r="681" spans="1:11" ht="10.5">
      <c r="A681" s="34"/>
      <c r="B681" s="16"/>
      <c r="C681" s="25"/>
      <c r="D681" s="18"/>
      <c r="E681" s="25"/>
      <c r="F681" s="25"/>
      <c r="G681" s="25"/>
      <c r="H681" s="18"/>
      <c r="I681" s="25"/>
      <c r="J681" s="25"/>
      <c r="K681" s="25"/>
    </row>
    <row r="682" spans="1:11" ht="10.5">
      <c r="A682" s="34"/>
      <c r="B682" s="16"/>
      <c r="C682" s="25"/>
      <c r="D682" s="18"/>
      <c r="E682" s="25"/>
      <c r="F682" s="25"/>
      <c r="G682" s="25"/>
      <c r="H682" s="18"/>
      <c r="I682" s="25"/>
      <c r="J682" s="25"/>
      <c r="K682" s="25"/>
    </row>
    <row r="683" spans="1:11" ht="10.5">
      <c r="A683" s="34"/>
      <c r="B683" s="16"/>
      <c r="C683" s="25"/>
      <c r="D683" s="18"/>
      <c r="E683" s="25"/>
      <c r="F683" s="25"/>
      <c r="G683" s="25"/>
      <c r="H683" s="18"/>
      <c r="I683" s="25"/>
      <c r="J683" s="25"/>
      <c r="K683" s="25"/>
    </row>
    <row r="684" spans="1:11" ht="10.5">
      <c r="A684" s="34"/>
      <c r="B684" s="16"/>
      <c r="C684" s="25"/>
      <c r="D684" s="18"/>
      <c r="E684" s="25"/>
      <c r="F684" s="25"/>
      <c r="G684" s="25"/>
      <c r="H684" s="18"/>
      <c r="I684" s="25"/>
      <c r="J684" s="25"/>
      <c r="K684" s="25"/>
    </row>
    <row r="685" spans="1:11" ht="10.5">
      <c r="A685" s="34"/>
      <c r="B685" s="16"/>
      <c r="C685" s="25"/>
      <c r="D685" s="18"/>
      <c r="E685" s="25"/>
      <c r="F685" s="25"/>
      <c r="G685" s="25"/>
      <c r="H685" s="18"/>
      <c r="I685" s="25"/>
      <c r="J685" s="25"/>
      <c r="K685" s="25"/>
    </row>
    <row r="686" spans="1:11" ht="10.5">
      <c r="A686" s="34"/>
      <c r="B686" s="16"/>
      <c r="C686" s="25"/>
      <c r="D686" s="18"/>
      <c r="E686" s="25"/>
      <c r="F686" s="25"/>
      <c r="G686" s="25"/>
      <c r="H686" s="18"/>
      <c r="I686" s="25"/>
      <c r="J686" s="25"/>
      <c r="K686" s="25"/>
    </row>
    <row r="687" spans="1:11" ht="10.5">
      <c r="A687" s="34"/>
      <c r="B687" s="16"/>
      <c r="C687" s="25"/>
      <c r="D687" s="18"/>
      <c r="E687" s="25"/>
      <c r="F687" s="25"/>
      <c r="G687" s="25"/>
      <c r="H687" s="18"/>
      <c r="I687" s="25"/>
      <c r="J687" s="25"/>
      <c r="K687" s="25"/>
    </row>
    <row r="688" spans="1:11" ht="10.5">
      <c r="A688" s="34"/>
      <c r="B688" s="16"/>
      <c r="C688" s="25"/>
      <c r="D688" s="18"/>
      <c r="E688" s="25"/>
      <c r="F688" s="25"/>
      <c r="G688" s="25"/>
      <c r="H688" s="18"/>
      <c r="I688" s="25"/>
      <c r="J688" s="25"/>
      <c r="K688" s="25"/>
    </row>
    <row r="689" spans="1:11" ht="10.5">
      <c r="A689" s="34"/>
      <c r="B689" s="16"/>
      <c r="C689" s="25"/>
      <c r="D689" s="18"/>
      <c r="E689" s="25"/>
      <c r="F689" s="25"/>
      <c r="G689" s="25"/>
      <c r="H689" s="18"/>
      <c r="I689" s="25"/>
      <c r="J689" s="25"/>
      <c r="K689" s="25"/>
    </row>
    <row r="690" spans="1:11" ht="10.5">
      <c r="A690" s="34"/>
      <c r="B690" s="16"/>
      <c r="C690" s="25"/>
      <c r="D690" s="18"/>
      <c r="E690" s="25"/>
      <c r="F690" s="25"/>
      <c r="G690" s="25"/>
      <c r="H690" s="18"/>
      <c r="I690" s="25"/>
      <c r="J690" s="25"/>
      <c r="K690" s="25"/>
    </row>
    <row r="691" spans="1:11" ht="10.5">
      <c r="A691" s="34"/>
      <c r="B691" s="16"/>
      <c r="C691" s="25"/>
      <c r="D691" s="18"/>
      <c r="E691" s="25"/>
      <c r="F691" s="25"/>
      <c r="G691" s="25"/>
      <c r="H691" s="18"/>
      <c r="I691" s="25"/>
      <c r="J691" s="25"/>
      <c r="K691" s="25"/>
    </row>
    <row r="692" spans="1:11" ht="10.5">
      <c r="A692" s="34"/>
      <c r="B692" s="16"/>
      <c r="C692" s="25"/>
      <c r="D692" s="18"/>
      <c r="E692" s="25"/>
      <c r="F692" s="25"/>
      <c r="G692" s="25"/>
      <c r="H692" s="18"/>
      <c r="I692" s="25"/>
      <c r="J692" s="25"/>
      <c r="K692" s="25"/>
    </row>
    <row r="693" spans="1:11" ht="10.5">
      <c r="A693" s="34"/>
      <c r="B693" s="16"/>
      <c r="C693" s="25"/>
      <c r="D693" s="18"/>
      <c r="E693" s="25"/>
      <c r="F693" s="25"/>
      <c r="G693" s="25"/>
      <c r="H693" s="18"/>
      <c r="I693" s="25"/>
      <c r="J693" s="25"/>
      <c r="K693" s="25"/>
    </row>
    <row r="694" spans="1:11" ht="10.5">
      <c r="A694" s="34"/>
      <c r="B694" s="16"/>
      <c r="C694" s="25"/>
      <c r="D694" s="18"/>
      <c r="E694" s="25"/>
      <c r="F694" s="25"/>
      <c r="G694" s="25"/>
      <c r="H694" s="18"/>
      <c r="I694" s="25"/>
      <c r="J694" s="25"/>
      <c r="K694" s="25"/>
    </row>
    <row r="695" spans="1:11" ht="10.5">
      <c r="A695" s="34"/>
      <c r="B695" s="16"/>
      <c r="C695" s="25"/>
      <c r="D695" s="18"/>
      <c r="E695" s="25"/>
      <c r="F695" s="25"/>
      <c r="G695" s="25"/>
      <c r="H695" s="18"/>
      <c r="I695" s="25"/>
      <c r="J695" s="25"/>
      <c r="K695" s="25"/>
    </row>
    <row r="696" spans="1:11" ht="10.5">
      <c r="A696" s="34"/>
      <c r="B696" s="16"/>
      <c r="C696" s="25"/>
      <c r="D696" s="18"/>
      <c r="E696" s="25"/>
      <c r="F696" s="25"/>
      <c r="G696" s="25"/>
      <c r="H696" s="18"/>
      <c r="I696" s="25"/>
      <c r="J696" s="25"/>
      <c r="K696" s="25"/>
    </row>
    <row r="697" spans="1:11" ht="10.5">
      <c r="A697" s="34"/>
      <c r="B697" s="16"/>
      <c r="C697" s="25"/>
      <c r="D697" s="18"/>
      <c r="E697" s="25"/>
      <c r="F697" s="25"/>
      <c r="G697" s="25"/>
      <c r="H697" s="18"/>
      <c r="I697" s="25"/>
      <c r="J697" s="25"/>
      <c r="K697" s="25"/>
    </row>
    <row r="698" spans="1:11" ht="10.5">
      <c r="A698" s="34"/>
      <c r="B698" s="16"/>
      <c r="C698" s="25"/>
      <c r="D698" s="18"/>
      <c r="E698" s="25"/>
      <c r="F698" s="25"/>
      <c r="G698" s="25"/>
      <c r="H698" s="18"/>
      <c r="I698" s="25"/>
      <c r="J698" s="25"/>
      <c r="K698" s="25"/>
    </row>
    <row r="699" spans="1:11" ht="10.5">
      <c r="A699" s="34"/>
      <c r="B699" s="16"/>
      <c r="C699" s="25"/>
      <c r="D699" s="18"/>
      <c r="E699" s="25"/>
      <c r="F699" s="25"/>
      <c r="G699" s="25"/>
      <c r="H699" s="18"/>
      <c r="I699" s="25"/>
      <c r="J699" s="25"/>
      <c r="K699" s="25"/>
    </row>
    <row r="700" spans="1:11" ht="10.5">
      <c r="A700" s="34"/>
      <c r="B700" s="16"/>
      <c r="C700" s="25"/>
      <c r="D700" s="18"/>
      <c r="E700" s="25"/>
      <c r="F700" s="25"/>
      <c r="G700" s="25"/>
      <c r="H700" s="18"/>
      <c r="I700" s="25"/>
      <c r="J700" s="25"/>
      <c r="K700" s="25"/>
    </row>
    <row r="701" spans="1:11" ht="10.5">
      <c r="A701" s="34"/>
      <c r="B701" s="16"/>
      <c r="C701" s="25"/>
      <c r="D701" s="18"/>
      <c r="E701" s="25"/>
      <c r="F701" s="25"/>
      <c r="G701" s="25"/>
      <c r="H701" s="18"/>
      <c r="I701" s="25"/>
      <c r="J701" s="25"/>
      <c r="K701" s="25"/>
    </row>
    <row r="702" spans="1:11" ht="10.5">
      <c r="A702" s="34"/>
      <c r="B702" s="16"/>
      <c r="C702" s="25"/>
      <c r="D702" s="18"/>
      <c r="E702" s="25"/>
      <c r="F702" s="25"/>
      <c r="G702" s="25"/>
      <c r="H702" s="18"/>
      <c r="I702" s="25"/>
      <c r="J702" s="25"/>
      <c r="K702" s="25"/>
    </row>
    <row r="703" spans="1:11" ht="10.5">
      <c r="A703" s="34"/>
      <c r="B703" s="16"/>
      <c r="C703" s="25"/>
      <c r="D703" s="18"/>
      <c r="E703" s="25"/>
      <c r="F703" s="25"/>
      <c r="G703" s="25"/>
      <c r="H703" s="18"/>
      <c r="I703" s="25"/>
      <c r="J703" s="25"/>
      <c r="K703" s="25"/>
    </row>
    <row r="704" spans="1:11" ht="10.5">
      <c r="A704" s="34"/>
      <c r="B704" s="16"/>
      <c r="C704" s="25"/>
      <c r="D704" s="18"/>
      <c r="E704" s="25"/>
      <c r="F704" s="25"/>
      <c r="G704" s="25"/>
      <c r="H704" s="18"/>
      <c r="I704" s="25"/>
      <c r="J704" s="25"/>
      <c r="K704" s="25"/>
    </row>
    <row r="705" spans="1:11" ht="10.5">
      <c r="A705" s="34"/>
      <c r="B705" s="16"/>
      <c r="C705" s="25"/>
      <c r="D705" s="18"/>
      <c r="E705" s="25"/>
      <c r="F705" s="25"/>
      <c r="G705" s="25"/>
      <c r="H705" s="18"/>
      <c r="I705" s="25"/>
      <c r="J705" s="25"/>
      <c r="K705" s="25"/>
    </row>
    <row r="706" spans="1:11" ht="10.5">
      <c r="A706" s="34"/>
      <c r="B706" s="16"/>
      <c r="C706" s="25"/>
      <c r="D706" s="18"/>
      <c r="E706" s="25"/>
      <c r="F706" s="25"/>
      <c r="G706" s="25"/>
      <c r="H706" s="18"/>
      <c r="I706" s="25"/>
      <c r="J706" s="25"/>
      <c r="K706" s="25"/>
    </row>
    <row r="707" spans="1:11" ht="10.5">
      <c r="A707" s="34"/>
      <c r="B707" s="16"/>
      <c r="C707" s="25"/>
      <c r="D707" s="18"/>
      <c r="E707" s="25"/>
      <c r="F707" s="25"/>
      <c r="G707" s="25"/>
      <c r="H707" s="18"/>
      <c r="I707" s="25"/>
      <c r="J707" s="25"/>
      <c r="K707" s="25"/>
    </row>
    <row r="708" spans="1:11" ht="10.5">
      <c r="A708" s="34"/>
      <c r="B708" s="16"/>
      <c r="C708" s="25"/>
      <c r="D708" s="18"/>
      <c r="E708" s="25"/>
      <c r="F708" s="25"/>
      <c r="G708" s="25"/>
      <c r="H708" s="18"/>
      <c r="I708" s="25"/>
      <c r="J708" s="25"/>
      <c r="K708" s="25"/>
    </row>
    <row r="709" spans="1:11" ht="10.5">
      <c r="A709" s="34"/>
      <c r="B709" s="16"/>
      <c r="C709" s="25"/>
      <c r="D709" s="18"/>
      <c r="E709" s="25"/>
      <c r="F709" s="25"/>
      <c r="G709" s="25"/>
      <c r="H709" s="18"/>
      <c r="I709" s="25"/>
      <c r="J709" s="25"/>
      <c r="K709" s="25"/>
    </row>
    <row r="710" spans="1:11" ht="10.5">
      <c r="A710" s="34"/>
      <c r="B710" s="16"/>
      <c r="C710" s="25"/>
      <c r="D710" s="18"/>
      <c r="E710" s="25"/>
      <c r="F710" s="25"/>
      <c r="G710" s="25"/>
      <c r="H710" s="18"/>
      <c r="I710" s="25"/>
      <c r="J710" s="25"/>
      <c r="K710" s="25"/>
    </row>
    <row r="711" spans="1:11" ht="10.5">
      <c r="A711" s="34"/>
      <c r="B711" s="16"/>
      <c r="C711" s="25"/>
      <c r="D711" s="18"/>
      <c r="E711" s="25"/>
      <c r="F711" s="25"/>
      <c r="G711" s="25"/>
      <c r="H711" s="18"/>
      <c r="I711" s="25"/>
      <c r="J711" s="25"/>
      <c r="K711" s="25"/>
    </row>
    <row r="712" spans="1:11" ht="10.5">
      <c r="A712" s="34"/>
      <c r="B712" s="16"/>
      <c r="C712" s="25"/>
      <c r="D712" s="18"/>
      <c r="E712" s="25"/>
      <c r="F712" s="25"/>
      <c r="G712" s="25"/>
      <c r="H712" s="18"/>
      <c r="I712" s="25"/>
      <c r="J712" s="25"/>
      <c r="K712" s="25"/>
    </row>
    <row r="713" spans="1:11" ht="10.5">
      <c r="A713" s="34"/>
      <c r="B713" s="16"/>
      <c r="C713" s="25"/>
      <c r="D713" s="18"/>
      <c r="E713" s="25"/>
      <c r="F713" s="25"/>
      <c r="G713" s="25"/>
      <c r="H713" s="18"/>
      <c r="I713" s="25"/>
      <c r="J713" s="25"/>
      <c r="K713" s="25"/>
    </row>
    <row r="714" spans="1:11" ht="10.5">
      <c r="A714" s="34"/>
      <c r="B714" s="16"/>
      <c r="C714" s="25"/>
      <c r="D714" s="18"/>
      <c r="E714" s="25"/>
      <c r="F714" s="25"/>
      <c r="G714" s="25"/>
      <c r="H714" s="18"/>
      <c r="I714" s="25"/>
      <c r="J714" s="25"/>
      <c r="K714" s="25"/>
    </row>
    <row r="715" spans="1:11" ht="10.5">
      <c r="A715" s="34"/>
      <c r="B715" s="16"/>
      <c r="C715" s="25"/>
      <c r="D715" s="18"/>
      <c r="E715" s="25"/>
      <c r="F715" s="25"/>
      <c r="G715" s="25"/>
      <c r="H715" s="18"/>
      <c r="I715" s="25"/>
      <c r="J715" s="25"/>
      <c r="K715" s="25"/>
    </row>
    <row r="716" spans="1:11" ht="10.5">
      <c r="A716" s="34"/>
      <c r="B716" s="16"/>
      <c r="C716" s="25"/>
      <c r="D716" s="18"/>
      <c r="E716" s="25"/>
      <c r="F716" s="25"/>
      <c r="G716" s="25"/>
      <c r="H716" s="18"/>
      <c r="I716" s="25"/>
      <c r="J716" s="25"/>
      <c r="K716" s="25"/>
    </row>
    <row r="717" spans="1:11" ht="10.5">
      <c r="A717" s="34"/>
      <c r="B717" s="16"/>
      <c r="C717" s="25"/>
      <c r="D717" s="18"/>
      <c r="E717" s="25"/>
      <c r="F717" s="25"/>
      <c r="G717" s="25"/>
      <c r="H717" s="18"/>
      <c r="I717" s="25"/>
      <c r="J717" s="25"/>
      <c r="K717" s="25"/>
    </row>
    <row r="718" spans="1:11" ht="10.5">
      <c r="A718" s="34"/>
      <c r="B718" s="16"/>
      <c r="C718" s="25"/>
      <c r="D718" s="18"/>
      <c r="E718" s="25"/>
      <c r="F718" s="25"/>
      <c r="G718" s="25"/>
      <c r="H718" s="18"/>
      <c r="I718" s="25"/>
      <c r="J718" s="25"/>
      <c r="K718" s="25"/>
    </row>
    <row r="719" spans="1:11" ht="10.5">
      <c r="A719" s="34"/>
      <c r="B719" s="16"/>
      <c r="C719" s="25"/>
      <c r="D719" s="18"/>
      <c r="E719" s="25"/>
      <c r="F719" s="25"/>
      <c r="G719" s="25"/>
      <c r="H719" s="18"/>
      <c r="I719" s="25"/>
      <c r="J719" s="25"/>
      <c r="K719" s="25"/>
    </row>
    <row r="720" spans="1:11" ht="10.5">
      <c r="A720" s="34"/>
      <c r="B720" s="16"/>
      <c r="C720" s="25"/>
      <c r="D720" s="18"/>
      <c r="E720" s="25"/>
      <c r="F720" s="25"/>
      <c r="G720" s="25"/>
      <c r="H720" s="18"/>
      <c r="I720" s="25"/>
      <c r="J720" s="25"/>
      <c r="K720" s="25"/>
    </row>
    <row r="721" spans="1:11" ht="10.5">
      <c r="A721" s="34"/>
      <c r="B721" s="16"/>
      <c r="C721" s="25"/>
      <c r="D721" s="18"/>
      <c r="E721" s="25"/>
      <c r="F721" s="25"/>
      <c r="G721" s="25"/>
      <c r="H721" s="18"/>
      <c r="I721" s="25"/>
      <c r="J721" s="25"/>
      <c r="K721" s="25"/>
    </row>
    <row r="722" spans="1:11" ht="10.5">
      <c r="A722" s="34"/>
      <c r="B722" s="16"/>
      <c r="C722" s="25"/>
      <c r="D722" s="18"/>
      <c r="E722" s="25"/>
      <c r="F722" s="25"/>
      <c r="G722" s="25"/>
      <c r="H722" s="18"/>
      <c r="I722" s="25"/>
      <c r="J722" s="25"/>
      <c r="K722" s="25"/>
    </row>
    <row r="723" spans="1:11" ht="10.5">
      <c r="A723" s="34"/>
      <c r="B723" s="16"/>
      <c r="C723" s="25"/>
      <c r="D723" s="18"/>
      <c r="E723" s="25"/>
      <c r="F723" s="25"/>
      <c r="G723" s="25"/>
      <c r="H723" s="18"/>
      <c r="I723" s="25"/>
      <c r="J723" s="25"/>
      <c r="K723" s="25"/>
    </row>
    <row r="724" spans="1:11" ht="10.5">
      <c r="A724" s="34"/>
      <c r="B724" s="16"/>
      <c r="C724" s="25"/>
      <c r="D724" s="18"/>
      <c r="E724" s="25"/>
      <c r="F724" s="25"/>
      <c r="G724" s="25"/>
      <c r="H724" s="18"/>
      <c r="I724" s="25"/>
      <c r="J724" s="25"/>
      <c r="K724" s="25"/>
    </row>
    <row r="725" spans="1:11" ht="10.5">
      <c r="A725" s="34"/>
      <c r="B725" s="16"/>
      <c r="C725" s="25"/>
      <c r="D725" s="18"/>
      <c r="E725" s="25"/>
      <c r="F725" s="25"/>
      <c r="G725" s="25"/>
      <c r="H725" s="18"/>
      <c r="I725" s="25"/>
      <c r="J725" s="25"/>
      <c r="K725" s="25"/>
    </row>
    <row r="726" spans="1:11" ht="10.5">
      <c r="A726" s="34"/>
      <c r="B726" s="16"/>
      <c r="C726" s="25"/>
      <c r="D726" s="18"/>
      <c r="E726" s="25"/>
      <c r="F726" s="25"/>
      <c r="G726" s="25"/>
      <c r="H726" s="18"/>
      <c r="I726" s="25"/>
      <c r="J726" s="25"/>
      <c r="K726" s="25"/>
    </row>
    <row r="727" spans="1:11" ht="10.5">
      <c r="A727" s="34"/>
      <c r="B727" s="16"/>
      <c r="C727" s="25"/>
      <c r="D727" s="18"/>
      <c r="E727" s="25"/>
      <c r="F727" s="25"/>
      <c r="G727" s="25"/>
      <c r="H727" s="18"/>
      <c r="I727" s="25"/>
      <c r="J727" s="25"/>
      <c r="K727" s="25"/>
    </row>
    <row r="728" spans="1:11" ht="10.5">
      <c r="A728" s="34"/>
      <c r="B728" s="16"/>
      <c r="C728" s="25"/>
      <c r="D728" s="18"/>
      <c r="E728" s="25"/>
      <c r="F728" s="25"/>
      <c r="G728" s="25"/>
      <c r="H728" s="18"/>
      <c r="I728" s="25"/>
      <c r="J728" s="25"/>
      <c r="K728" s="25"/>
    </row>
    <row r="729" spans="1:11" ht="10.5">
      <c r="A729" s="34"/>
      <c r="B729" s="16"/>
      <c r="C729" s="25"/>
      <c r="D729" s="18"/>
      <c r="E729" s="25"/>
      <c r="F729" s="25"/>
      <c r="G729" s="25"/>
      <c r="H729" s="18"/>
      <c r="I729" s="25"/>
      <c r="J729" s="25"/>
      <c r="K729" s="25"/>
    </row>
    <row r="730" spans="1:11" ht="10.5">
      <c r="A730" s="34"/>
      <c r="B730" s="16"/>
      <c r="C730" s="25"/>
      <c r="D730" s="18"/>
      <c r="E730" s="25"/>
      <c r="F730" s="25"/>
      <c r="G730" s="25"/>
      <c r="H730" s="18"/>
      <c r="I730" s="25"/>
      <c r="J730" s="25"/>
      <c r="K730" s="25"/>
    </row>
    <row r="731" spans="1:11" ht="10.5">
      <c r="A731" s="34"/>
      <c r="B731" s="16"/>
      <c r="C731" s="25"/>
      <c r="D731" s="18"/>
      <c r="E731" s="25"/>
      <c r="F731" s="25"/>
      <c r="G731" s="25"/>
      <c r="H731" s="18"/>
      <c r="I731" s="25"/>
      <c r="J731" s="25"/>
      <c r="K731" s="25"/>
    </row>
    <row r="732" spans="1:11" ht="10.5">
      <c r="A732" s="34"/>
      <c r="B732" s="16"/>
      <c r="C732" s="25"/>
      <c r="D732" s="18"/>
      <c r="E732" s="25"/>
      <c r="F732" s="25"/>
      <c r="G732" s="25"/>
      <c r="H732" s="18"/>
      <c r="I732" s="25"/>
      <c r="J732" s="25"/>
      <c r="K732" s="25"/>
    </row>
    <row r="733" spans="1:11" ht="10.5">
      <c r="A733" s="34"/>
      <c r="B733" s="16"/>
      <c r="C733" s="25"/>
      <c r="D733" s="18"/>
      <c r="E733" s="25"/>
      <c r="F733" s="25"/>
      <c r="G733" s="25"/>
      <c r="H733" s="18"/>
      <c r="I733" s="25"/>
      <c r="J733" s="25"/>
      <c r="K733" s="25"/>
    </row>
    <row r="734" spans="1:11" ht="10.5">
      <c r="A734" s="34"/>
      <c r="B734" s="16"/>
      <c r="C734" s="25"/>
      <c r="D734" s="18"/>
      <c r="E734" s="25"/>
      <c r="F734" s="25"/>
      <c r="G734" s="25"/>
      <c r="H734" s="18"/>
      <c r="I734" s="25"/>
      <c r="J734" s="25"/>
      <c r="K734" s="25"/>
    </row>
    <row r="735" spans="1:11" ht="10.5">
      <c r="A735" s="34"/>
      <c r="B735" s="16"/>
      <c r="C735" s="25"/>
      <c r="D735" s="18"/>
      <c r="E735" s="25"/>
      <c r="F735" s="25"/>
      <c r="G735" s="25"/>
      <c r="H735" s="18"/>
      <c r="I735" s="25"/>
      <c r="J735" s="25"/>
      <c r="K735" s="25"/>
    </row>
    <row r="736" spans="1:11" ht="10.5">
      <c r="A736" s="34"/>
      <c r="B736" s="16"/>
      <c r="C736" s="25"/>
      <c r="D736" s="18"/>
      <c r="E736" s="25"/>
      <c r="F736" s="25"/>
      <c r="G736" s="25"/>
      <c r="H736" s="18"/>
      <c r="I736" s="25"/>
      <c r="J736" s="25"/>
      <c r="K736" s="25"/>
    </row>
    <row r="737" spans="1:11" ht="10.5">
      <c r="A737" s="34"/>
      <c r="B737" s="16"/>
      <c r="C737" s="25"/>
      <c r="D737" s="18"/>
      <c r="E737" s="25"/>
      <c r="F737" s="25"/>
      <c r="G737" s="25"/>
      <c r="H737" s="18"/>
      <c r="I737" s="25"/>
      <c r="J737" s="25"/>
      <c r="K737" s="25"/>
    </row>
    <row r="738" spans="1:11" ht="10.5">
      <c r="A738" s="34"/>
      <c r="B738" s="16"/>
      <c r="C738" s="25"/>
      <c r="D738" s="18"/>
      <c r="E738" s="25"/>
      <c r="F738" s="25"/>
      <c r="G738" s="25"/>
      <c r="H738" s="18"/>
      <c r="I738" s="25"/>
      <c r="J738" s="25"/>
      <c r="K738" s="25"/>
    </row>
    <row r="739" spans="1:11" ht="10.5">
      <c r="A739" s="34"/>
      <c r="B739" s="16"/>
      <c r="C739" s="25"/>
      <c r="D739" s="18"/>
      <c r="E739" s="25"/>
      <c r="F739" s="25"/>
      <c r="G739" s="25"/>
      <c r="H739" s="18"/>
      <c r="I739" s="25"/>
      <c r="J739" s="25"/>
      <c r="K739" s="25"/>
    </row>
    <row r="740" spans="1:11" ht="10.5">
      <c r="A740" s="34"/>
      <c r="B740" s="16"/>
      <c r="C740" s="25"/>
      <c r="D740" s="18"/>
      <c r="E740" s="25"/>
      <c r="F740" s="25"/>
      <c r="G740" s="25"/>
      <c r="H740" s="18"/>
      <c r="I740" s="25"/>
      <c r="J740" s="25"/>
      <c r="K740" s="25"/>
    </row>
    <row r="741" spans="1:11" ht="10.5">
      <c r="A741" s="34"/>
      <c r="B741" s="16"/>
      <c r="C741" s="25"/>
      <c r="D741" s="18"/>
      <c r="E741" s="25"/>
      <c r="F741" s="25"/>
      <c r="G741" s="25"/>
      <c r="H741" s="18"/>
      <c r="I741" s="25"/>
      <c r="J741" s="25"/>
      <c r="K741" s="25"/>
    </row>
    <row r="742" spans="1:11" ht="10.5">
      <c r="A742" s="34"/>
      <c r="B742" s="16"/>
      <c r="C742" s="25"/>
      <c r="D742" s="18"/>
      <c r="E742" s="25"/>
      <c r="F742" s="25"/>
      <c r="G742" s="25"/>
      <c r="H742" s="18"/>
      <c r="I742" s="25"/>
      <c r="J742" s="25"/>
      <c r="K742" s="25"/>
    </row>
    <row r="743" spans="1:11" ht="10.5">
      <c r="A743" s="34"/>
      <c r="B743" s="16"/>
      <c r="C743" s="25"/>
      <c r="D743" s="18"/>
      <c r="E743" s="25"/>
      <c r="F743" s="25"/>
      <c r="G743" s="25"/>
      <c r="H743" s="18"/>
      <c r="I743" s="25"/>
      <c r="J743" s="25"/>
      <c r="K743" s="25"/>
    </row>
    <row r="744" spans="1:11" ht="10.5">
      <c r="A744" s="34"/>
      <c r="B744" s="16"/>
      <c r="C744" s="25"/>
      <c r="D744" s="18"/>
      <c r="E744" s="25"/>
      <c r="F744" s="25"/>
      <c r="G744" s="25"/>
      <c r="H744" s="18"/>
      <c r="I744" s="25"/>
      <c r="J744" s="25"/>
      <c r="K744" s="25"/>
    </row>
    <row r="745" spans="1:11" ht="10.5">
      <c r="A745" s="34"/>
      <c r="B745" s="16"/>
      <c r="C745" s="25"/>
      <c r="D745" s="18"/>
      <c r="E745" s="25"/>
      <c r="F745" s="25"/>
      <c r="G745" s="25"/>
      <c r="H745" s="18"/>
      <c r="I745" s="25"/>
      <c r="J745" s="25"/>
      <c r="K745" s="25"/>
    </row>
    <row r="746" spans="1:11" ht="10.5">
      <c r="A746" s="34"/>
      <c r="B746" s="16"/>
      <c r="C746" s="25"/>
      <c r="D746" s="18"/>
      <c r="E746" s="25"/>
      <c r="F746" s="25"/>
      <c r="G746" s="25"/>
      <c r="H746" s="18"/>
      <c r="I746" s="25"/>
      <c r="J746" s="25"/>
      <c r="K746" s="25"/>
    </row>
    <row r="747" spans="1:11" ht="10.5">
      <c r="A747" s="34"/>
      <c r="B747" s="16"/>
      <c r="C747" s="25"/>
      <c r="D747" s="18"/>
      <c r="E747" s="25"/>
      <c r="F747" s="25"/>
      <c r="G747" s="25"/>
      <c r="H747" s="18"/>
      <c r="I747" s="25"/>
      <c r="J747" s="25"/>
      <c r="K747" s="25"/>
    </row>
    <row r="748" spans="1:11" ht="10.5">
      <c r="A748" s="34"/>
      <c r="B748" s="16"/>
      <c r="C748" s="25"/>
      <c r="D748" s="18"/>
      <c r="E748" s="25"/>
      <c r="F748" s="25"/>
      <c r="G748" s="25"/>
      <c r="H748" s="18"/>
      <c r="I748" s="25"/>
      <c r="J748" s="25"/>
      <c r="K748" s="25"/>
    </row>
    <row r="749" spans="1:11" ht="10.5">
      <c r="A749" s="34"/>
      <c r="B749" s="16"/>
      <c r="C749" s="25"/>
      <c r="D749" s="18"/>
      <c r="E749" s="25"/>
      <c r="F749" s="25"/>
      <c r="G749" s="25"/>
      <c r="H749" s="18"/>
      <c r="I749" s="25"/>
      <c r="J749" s="25"/>
      <c r="K749" s="25"/>
    </row>
    <row r="750" spans="1:11" ht="10.5">
      <c r="A750" s="34"/>
      <c r="B750" s="16"/>
      <c r="C750" s="25"/>
      <c r="D750" s="18"/>
      <c r="E750" s="25"/>
      <c r="F750" s="25"/>
      <c r="G750" s="25"/>
      <c r="H750" s="18"/>
      <c r="I750" s="25"/>
      <c r="J750" s="25"/>
      <c r="K750" s="25"/>
    </row>
    <row r="751" spans="1:11" ht="10.5">
      <c r="A751" s="34"/>
      <c r="B751" s="16"/>
      <c r="C751" s="25"/>
      <c r="D751" s="18"/>
      <c r="E751" s="25"/>
      <c r="F751" s="25"/>
      <c r="G751" s="25"/>
      <c r="H751" s="18"/>
      <c r="I751" s="25"/>
      <c r="J751" s="25"/>
      <c r="K751" s="25"/>
    </row>
    <row r="752" spans="1:11" ht="10.5">
      <c r="A752" s="34"/>
      <c r="B752" s="16"/>
      <c r="C752" s="25"/>
      <c r="D752" s="18"/>
      <c r="E752" s="25"/>
      <c r="F752" s="25"/>
      <c r="G752" s="25"/>
      <c r="H752" s="18"/>
      <c r="I752" s="25"/>
      <c r="J752" s="25"/>
      <c r="K752" s="25"/>
    </row>
    <row r="753" spans="1:11" ht="10.5">
      <c r="A753" s="34"/>
      <c r="B753" s="16"/>
      <c r="C753" s="25"/>
      <c r="D753" s="18"/>
      <c r="E753" s="25"/>
      <c r="F753" s="25"/>
      <c r="G753" s="25"/>
      <c r="H753" s="18"/>
      <c r="I753" s="25"/>
      <c r="J753" s="25"/>
      <c r="K753" s="25"/>
    </row>
    <row r="754" spans="1:11" ht="10.5">
      <c r="A754" s="34"/>
      <c r="B754" s="16"/>
      <c r="C754" s="25"/>
      <c r="D754" s="18"/>
      <c r="E754" s="25"/>
      <c r="F754" s="25"/>
      <c r="G754" s="25"/>
      <c r="H754" s="18"/>
      <c r="I754" s="25"/>
      <c r="J754" s="25"/>
      <c r="K754" s="25"/>
    </row>
    <row r="755" spans="1:11" ht="10.5">
      <c r="A755" s="34"/>
      <c r="B755" s="16"/>
      <c r="C755" s="25"/>
      <c r="D755" s="18"/>
      <c r="E755" s="25"/>
      <c r="F755" s="25"/>
      <c r="G755" s="25"/>
      <c r="H755" s="18"/>
      <c r="I755" s="25"/>
      <c r="J755" s="25"/>
      <c r="K755" s="25"/>
    </row>
    <row r="756" spans="1:11" ht="10.5">
      <c r="A756" s="34"/>
      <c r="B756" s="16"/>
      <c r="C756" s="25"/>
      <c r="D756" s="18"/>
      <c r="E756" s="25"/>
      <c r="F756" s="25"/>
      <c r="G756" s="25"/>
      <c r="H756" s="18"/>
      <c r="I756" s="25"/>
      <c r="J756" s="25"/>
      <c r="K756" s="25"/>
    </row>
    <row r="757" spans="1:11" ht="10.5">
      <c r="A757" s="34"/>
      <c r="B757" s="16"/>
      <c r="C757" s="25"/>
      <c r="D757" s="18"/>
      <c r="E757" s="25"/>
      <c r="F757" s="25"/>
      <c r="G757" s="25"/>
      <c r="H757" s="18"/>
      <c r="I757" s="25"/>
      <c r="J757" s="25"/>
      <c r="K757" s="25"/>
    </row>
    <row r="758" spans="1:11" ht="10.5">
      <c r="A758" s="34"/>
      <c r="B758" s="16"/>
      <c r="C758" s="25"/>
      <c r="D758" s="18"/>
      <c r="E758" s="25"/>
      <c r="F758" s="25"/>
      <c r="G758" s="25"/>
      <c r="H758" s="18"/>
      <c r="I758" s="25"/>
      <c r="J758" s="25"/>
      <c r="K758" s="25"/>
    </row>
    <row r="759" spans="1:11" ht="10.5">
      <c r="A759" s="34"/>
      <c r="B759" s="16"/>
      <c r="C759" s="25"/>
      <c r="D759" s="18"/>
      <c r="E759" s="25"/>
      <c r="F759" s="25"/>
      <c r="G759" s="25"/>
      <c r="H759" s="18"/>
      <c r="I759" s="25"/>
      <c r="J759" s="25"/>
      <c r="K759" s="25"/>
    </row>
    <row r="760" spans="1:11" ht="10.5">
      <c r="A760" s="34"/>
      <c r="B760" s="16"/>
      <c r="C760" s="25"/>
      <c r="D760" s="18"/>
      <c r="E760" s="25"/>
      <c r="F760" s="25"/>
      <c r="G760" s="25"/>
      <c r="H760" s="18"/>
      <c r="I760" s="25"/>
      <c r="J760" s="25"/>
      <c r="K760" s="25"/>
    </row>
    <row r="761" spans="1:11" ht="10.5">
      <c r="A761" s="34"/>
      <c r="B761" s="16"/>
      <c r="C761" s="25"/>
      <c r="D761" s="18"/>
      <c r="E761" s="25"/>
      <c r="F761" s="25"/>
      <c r="G761" s="25"/>
      <c r="H761" s="18"/>
      <c r="I761" s="25"/>
      <c r="J761" s="25"/>
      <c r="K761" s="25"/>
    </row>
    <row r="762" spans="1:11" ht="10.5">
      <c r="A762" s="34"/>
      <c r="B762" s="16"/>
      <c r="C762" s="25"/>
      <c r="D762" s="18"/>
      <c r="E762" s="25"/>
      <c r="F762" s="25"/>
      <c r="G762" s="25"/>
      <c r="H762" s="18"/>
      <c r="I762" s="25"/>
      <c r="J762" s="25"/>
      <c r="K762" s="25"/>
    </row>
    <row r="763" spans="1:11" ht="10.5">
      <c r="A763" s="34"/>
      <c r="B763" s="16"/>
      <c r="C763" s="25"/>
      <c r="D763" s="18"/>
      <c r="E763" s="25"/>
      <c r="F763" s="25"/>
      <c r="G763" s="25"/>
      <c r="H763" s="18"/>
      <c r="I763" s="25"/>
      <c r="J763" s="25"/>
      <c r="K763" s="25"/>
    </row>
    <row r="764" spans="1:11" ht="10.5">
      <c r="A764" s="34"/>
      <c r="B764" s="16"/>
      <c r="C764" s="25"/>
      <c r="D764" s="18"/>
      <c r="E764" s="25"/>
      <c r="F764" s="25"/>
      <c r="G764" s="25"/>
      <c r="H764" s="18"/>
      <c r="I764" s="25"/>
      <c r="J764" s="25"/>
      <c r="K764" s="25"/>
    </row>
    <row r="765" spans="1:11" ht="10.5">
      <c r="A765" s="34"/>
      <c r="B765" s="16"/>
      <c r="C765" s="25"/>
      <c r="D765" s="18"/>
      <c r="E765" s="25"/>
      <c r="F765" s="25"/>
      <c r="G765" s="25"/>
      <c r="H765" s="18"/>
      <c r="I765" s="25"/>
      <c r="J765" s="25"/>
      <c r="K765" s="25"/>
    </row>
    <row r="766" spans="1:11" ht="10.5">
      <c r="A766" s="34"/>
      <c r="B766" s="16"/>
      <c r="C766" s="25"/>
      <c r="D766" s="18"/>
      <c r="E766" s="25"/>
      <c r="F766" s="25"/>
      <c r="G766" s="25"/>
      <c r="H766" s="18"/>
      <c r="I766" s="25"/>
      <c r="J766" s="25"/>
      <c r="K766" s="25"/>
    </row>
    <row r="767" spans="1:11" ht="10.5">
      <c r="A767" s="34"/>
      <c r="B767" s="16"/>
      <c r="C767" s="25"/>
      <c r="D767" s="18"/>
      <c r="E767" s="25"/>
      <c r="F767" s="25"/>
      <c r="G767" s="25"/>
      <c r="H767" s="18"/>
      <c r="I767" s="25"/>
      <c r="J767" s="25"/>
      <c r="K767" s="25"/>
    </row>
    <row r="768" spans="1:11" ht="10.5">
      <c r="A768" s="34"/>
      <c r="B768" s="16"/>
      <c r="C768" s="25"/>
      <c r="D768" s="18"/>
      <c r="E768" s="25"/>
      <c r="F768" s="25"/>
      <c r="G768" s="25"/>
      <c r="H768" s="18"/>
      <c r="I768" s="25"/>
      <c r="J768" s="25"/>
      <c r="K768" s="25"/>
    </row>
    <row r="769" spans="1:11" ht="10.5">
      <c r="A769" s="34"/>
      <c r="B769" s="16"/>
      <c r="C769" s="25"/>
      <c r="D769" s="18"/>
      <c r="E769" s="25"/>
      <c r="F769" s="25"/>
      <c r="G769" s="25"/>
      <c r="H769" s="18"/>
      <c r="I769" s="25"/>
      <c r="J769" s="25"/>
      <c r="K769" s="25"/>
    </row>
    <row r="770" spans="1:11" ht="10.5">
      <c r="A770" s="34"/>
      <c r="B770" s="16"/>
      <c r="C770" s="25"/>
      <c r="D770" s="18"/>
      <c r="E770" s="25"/>
      <c r="F770" s="25"/>
      <c r="G770" s="25"/>
      <c r="H770" s="18"/>
      <c r="I770" s="25"/>
      <c r="J770" s="25"/>
      <c r="K770" s="25"/>
    </row>
    <row r="771" spans="1:11" ht="10.5">
      <c r="A771" s="34"/>
      <c r="B771" s="16"/>
      <c r="C771" s="25"/>
      <c r="D771" s="18"/>
      <c r="E771" s="25"/>
      <c r="F771" s="25"/>
      <c r="G771" s="25"/>
      <c r="H771" s="18"/>
      <c r="I771" s="25"/>
      <c r="J771" s="25"/>
      <c r="K771" s="25"/>
    </row>
    <row r="772" spans="1:11" ht="10.5">
      <c r="A772" s="34"/>
      <c r="B772" s="16"/>
      <c r="C772" s="25"/>
      <c r="D772" s="18"/>
      <c r="E772" s="25"/>
      <c r="F772" s="25"/>
      <c r="G772" s="25"/>
      <c r="H772" s="18"/>
      <c r="I772" s="25"/>
      <c r="J772" s="25"/>
      <c r="K772" s="25"/>
    </row>
    <row r="773" spans="1:11" ht="10.5">
      <c r="A773" s="34"/>
      <c r="B773" s="16"/>
      <c r="C773" s="25"/>
      <c r="D773" s="18"/>
      <c r="E773" s="25"/>
      <c r="F773" s="25"/>
      <c r="G773" s="25"/>
      <c r="H773" s="18"/>
      <c r="I773" s="25"/>
      <c r="J773" s="25"/>
      <c r="K773" s="25"/>
    </row>
    <row r="774" spans="1:11" ht="10.5">
      <c r="A774" s="34"/>
      <c r="B774" s="16"/>
      <c r="C774" s="25"/>
      <c r="D774" s="18"/>
      <c r="E774" s="25"/>
      <c r="F774" s="25"/>
      <c r="G774" s="25"/>
      <c r="H774" s="18"/>
      <c r="I774" s="25"/>
      <c r="J774" s="25"/>
      <c r="K774" s="25"/>
    </row>
    <row r="775" spans="1:11" ht="10.5">
      <c r="A775" s="34"/>
      <c r="B775" s="16"/>
      <c r="C775" s="25"/>
      <c r="D775" s="18"/>
      <c r="E775" s="25"/>
      <c r="F775" s="25"/>
      <c r="G775" s="25"/>
      <c r="H775" s="18"/>
      <c r="I775" s="25"/>
      <c r="J775" s="25"/>
      <c r="K775" s="25"/>
    </row>
    <row r="776" spans="1:11" ht="10.5">
      <c r="A776" s="34"/>
      <c r="B776" s="16"/>
      <c r="C776" s="25"/>
      <c r="D776" s="18"/>
      <c r="E776" s="25"/>
      <c r="F776" s="25"/>
      <c r="G776" s="25"/>
      <c r="H776" s="18"/>
      <c r="I776" s="25"/>
      <c r="J776" s="25"/>
      <c r="K776" s="25"/>
    </row>
    <row r="777" spans="1:11" ht="10.5">
      <c r="A777" s="34"/>
      <c r="B777" s="16"/>
      <c r="C777" s="25"/>
      <c r="D777" s="18"/>
      <c r="E777" s="25"/>
      <c r="F777" s="25"/>
      <c r="G777" s="25"/>
      <c r="H777" s="18"/>
      <c r="I777" s="25"/>
      <c r="J777" s="25"/>
      <c r="K777" s="25"/>
    </row>
    <row r="778" spans="1:11" ht="10.5">
      <c r="A778" s="34"/>
      <c r="B778" s="16"/>
      <c r="C778" s="25"/>
      <c r="D778" s="18"/>
      <c r="E778" s="25"/>
      <c r="F778" s="25"/>
      <c r="G778" s="25"/>
      <c r="H778" s="18"/>
      <c r="I778" s="25"/>
      <c r="J778" s="25"/>
      <c r="K778" s="25"/>
    </row>
    <row r="779" spans="1:11" ht="10.5">
      <c r="A779" s="34"/>
      <c r="B779" s="16"/>
      <c r="C779" s="25"/>
      <c r="D779" s="18"/>
      <c r="E779" s="25"/>
      <c r="F779" s="25"/>
      <c r="G779" s="25"/>
      <c r="H779" s="18"/>
      <c r="I779" s="25"/>
      <c r="J779" s="25"/>
      <c r="K779" s="25"/>
    </row>
    <row r="780" spans="1:11" ht="10.5">
      <c r="A780" s="34"/>
      <c r="B780" s="16"/>
      <c r="C780" s="25"/>
      <c r="D780" s="18"/>
      <c r="E780" s="25"/>
      <c r="F780" s="25"/>
      <c r="G780" s="25"/>
      <c r="H780" s="18"/>
      <c r="I780" s="25"/>
      <c r="J780" s="25"/>
      <c r="K780" s="25"/>
    </row>
    <row r="781" spans="1:11" ht="10.5">
      <c r="A781" s="34"/>
      <c r="B781" s="16"/>
      <c r="C781" s="25"/>
      <c r="D781" s="18"/>
      <c r="E781" s="25"/>
      <c r="F781" s="25"/>
      <c r="G781" s="25"/>
      <c r="H781" s="18"/>
      <c r="I781" s="25"/>
      <c r="J781" s="25"/>
      <c r="K781" s="25"/>
    </row>
    <row r="782" spans="1:11" ht="10.5">
      <c r="A782" s="34"/>
      <c r="B782" s="16"/>
      <c r="C782" s="25"/>
      <c r="D782" s="18"/>
      <c r="E782" s="25"/>
      <c r="F782" s="25"/>
      <c r="G782" s="25"/>
      <c r="H782" s="18"/>
      <c r="I782" s="25"/>
      <c r="J782" s="25"/>
      <c r="K782" s="25"/>
    </row>
    <row r="783" spans="1:11" ht="10.5">
      <c r="A783" s="34"/>
      <c r="B783" s="16"/>
      <c r="C783" s="25"/>
      <c r="D783" s="18"/>
      <c r="E783" s="25"/>
      <c r="F783" s="25"/>
      <c r="G783" s="25"/>
      <c r="H783" s="18"/>
      <c r="I783" s="25"/>
      <c r="J783" s="25"/>
      <c r="K783" s="25"/>
    </row>
    <row r="784" spans="1:11" ht="10.5">
      <c r="A784" s="34"/>
      <c r="B784" s="16"/>
      <c r="C784" s="25"/>
      <c r="D784" s="18"/>
      <c r="E784" s="25"/>
      <c r="F784" s="25"/>
      <c r="G784" s="25"/>
      <c r="H784" s="18"/>
      <c r="I784" s="25"/>
      <c r="J784" s="25"/>
      <c r="K784" s="25"/>
    </row>
    <row r="785" spans="1:11" ht="10.5">
      <c r="A785" s="34"/>
      <c r="B785" s="16"/>
      <c r="C785" s="25"/>
      <c r="D785" s="18"/>
      <c r="E785" s="25"/>
      <c r="F785" s="25"/>
      <c r="G785" s="25"/>
      <c r="H785" s="18"/>
      <c r="I785" s="25"/>
      <c r="J785" s="25"/>
      <c r="K785" s="25"/>
    </row>
    <row r="786" spans="1:11" ht="10.5">
      <c r="A786" s="34"/>
      <c r="B786" s="16"/>
      <c r="C786" s="25"/>
      <c r="D786" s="18"/>
      <c r="E786" s="25"/>
      <c r="F786" s="25"/>
      <c r="G786" s="25"/>
      <c r="H786" s="18"/>
      <c r="I786" s="25"/>
      <c r="J786" s="25"/>
      <c r="K786" s="25"/>
    </row>
    <row r="787" spans="1:11" ht="10.5">
      <c r="A787" s="34"/>
      <c r="B787" s="16"/>
      <c r="C787" s="25"/>
      <c r="D787" s="18"/>
      <c r="E787" s="25"/>
      <c r="F787" s="25"/>
      <c r="G787" s="25"/>
      <c r="H787" s="18"/>
      <c r="I787" s="25"/>
      <c r="J787" s="25"/>
      <c r="K787" s="25"/>
    </row>
    <row r="788" spans="1:11" ht="10.5">
      <c r="A788" s="34"/>
      <c r="B788" s="16"/>
      <c r="C788" s="25"/>
      <c r="D788" s="18"/>
      <c r="E788" s="25"/>
      <c r="F788" s="25"/>
      <c r="G788" s="25"/>
      <c r="H788" s="18"/>
      <c r="I788" s="25"/>
      <c r="J788" s="25"/>
      <c r="K788" s="25"/>
    </row>
    <row r="789" spans="1:11" ht="10.5">
      <c r="A789" s="34"/>
      <c r="B789" s="16"/>
      <c r="C789" s="25"/>
      <c r="D789" s="18"/>
      <c r="E789" s="25"/>
      <c r="F789" s="25"/>
      <c r="G789" s="25"/>
      <c r="H789" s="18"/>
      <c r="I789" s="25"/>
      <c r="J789" s="25"/>
      <c r="K789" s="25"/>
    </row>
    <row r="790" spans="1:11" ht="10.5">
      <c r="A790" s="34"/>
      <c r="B790" s="16"/>
      <c r="C790" s="25"/>
      <c r="D790" s="18"/>
      <c r="E790" s="25"/>
      <c r="F790" s="25"/>
      <c r="G790" s="25"/>
      <c r="H790" s="18"/>
      <c r="I790" s="25"/>
      <c r="J790" s="25"/>
      <c r="K790" s="25"/>
    </row>
    <row r="791" spans="1:11" ht="10.5">
      <c r="A791" s="34"/>
      <c r="B791" s="16"/>
      <c r="C791" s="25"/>
      <c r="D791" s="18"/>
      <c r="E791" s="25"/>
      <c r="F791" s="25"/>
      <c r="G791" s="25"/>
      <c r="H791" s="18"/>
      <c r="I791" s="25"/>
      <c r="J791" s="25"/>
      <c r="K791" s="25"/>
    </row>
    <row r="792" spans="1:11" ht="10.5">
      <c r="A792" s="34"/>
      <c r="B792" s="16"/>
      <c r="C792" s="25"/>
      <c r="D792" s="18"/>
      <c r="E792" s="25"/>
      <c r="F792" s="25"/>
      <c r="G792" s="25"/>
      <c r="H792" s="18"/>
      <c r="I792" s="25"/>
      <c r="J792" s="25"/>
      <c r="K792" s="25"/>
    </row>
    <row r="793" spans="1:11" ht="10.5">
      <c r="A793" s="34"/>
      <c r="B793" s="16"/>
      <c r="C793" s="25"/>
      <c r="D793" s="18"/>
      <c r="E793" s="25"/>
      <c r="F793" s="25"/>
      <c r="G793" s="25"/>
      <c r="H793" s="18"/>
      <c r="I793" s="25"/>
      <c r="J793" s="25"/>
      <c r="K793" s="25"/>
    </row>
    <row r="794" spans="1:11" ht="10.5">
      <c r="A794" s="34"/>
      <c r="B794" s="16"/>
      <c r="C794" s="25"/>
      <c r="D794" s="18"/>
      <c r="E794" s="25"/>
      <c r="F794" s="25"/>
      <c r="G794" s="25"/>
      <c r="H794" s="18"/>
      <c r="I794" s="25"/>
      <c r="J794" s="25"/>
      <c r="K794" s="25"/>
    </row>
    <row r="795" spans="1:11" ht="10.5">
      <c r="A795" s="34"/>
      <c r="B795" s="16"/>
      <c r="C795" s="25"/>
      <c r="D795" s="18"/>
      <c r="E795" s="25"/>
      <c r="F795" s="25"/>
      <c r="G795" s="25"/>
      <c r="H795" s="18"/>
      <c r="I795" s="25"/>
      <c r="J795" s="25"/>
      <c r="K795" s="25"/>
    </row>
    <row r="796" spans="1:11" ht="10.5">
      <c r="A796" s="34"/>
      <c r="B796" s="16"/>
      <c r="C796" s="25"/>
      <c r="D796" s="18"/>
      <c r="E796" s="25"/>
      <c r="F796" s="25"/>
      <c r="G796" s="25"/>
      <c r="H796" s="18"/>
      <c r="I796" s="25"/>
      <c r="J796" s="25"/>
      <c r="K796" s="25"/>
    </row>
    <row r="797" spans="1:11" ht="10.5">
      <c r="A797" s="34"/>
      <c r="B797" s="16"/>
      <c r="C797" s="25"/>
      <c r="D797" s="18"/>
      <c r="E797" s="25"/>
      <c r="F797" s="25"/>
      <c r="G797" s="25"/>
      <c r="H797" s="18"/>
      <c r="I797" s="25"/>
      <c r="J797" s="25"/>
      <c r="K797" s="25"/>
    </row>
    <row r="798" spans="1:11" ht="10.5">
      <c r="A798" s="34"/>
      <c r="B798" s="16"/>
      <c r="C798" s="25"/>
      <c r="D798" s="18"/>
      <c r="E798" s="25"/>
      <c r="F798" s="25"/>
      <c r="G798" s="25"/>
      <c r="H798" s="18"/>
      <c r="I798" s="25"/>
      <c r="J798" s="25"/>
      <c r="K798" s="25"/>
    </row>
    <row r="799" spans="1:11" ht="10.5">
      <c r="A799" s="34"/>
      <c r="B799" s="16"/>
      <c r="C799" s="25"/>
      <c r="D799" s="18"/>
      <c r="E799" s="25"/>
      <c r="F799" s="25"/>
      <c r="G799" s="25"/>
      <c r="H799" s="18"/>
      <c r="I799" s="25"/>
      <c r="J799" s="25"/>
      <c r="K799" s="25"/>
    </row>
    <row r="800" spans="1:11" ht="10.5">
      <c r="A800" s="34"/>
      <c r="B800" s="16"/>
      <c r="C800" s="25"/>
      <c r="D800" s="18"/>
      <c r="E800" s="25"/>
      <c r="F800" s="25"/>
      <c r="G800" s="25"/>
      <c r="H800" s="18"/>
      <c r="I800" s="25"/>
      <c r="J800" s="25"/>
      <c r="K800" s="25"/>
    </row>
    <row r="801" spans="1:11" ht="10.5">
      <c r="A801" s="34"/>
      <c r="B801" s="16"/>
      <c r="C801" s="25"/>
      <c r="D801" s="18"/>
      <c r="E801" s="25"/>
      <c r="F801" s="25"/>
      <c r="G801" s="25"/>
      <c r="H801" s="18"/>
      <c r="I801" s="25"/>
      <c r="J801" s="25"/>
      <c r="K801" s="25"/>
    </row>
    <row r="802" spans="1:11" ht="10.5">
      <c r="A802" s="34"/>
      <c r="B802" s="16"/>
      <c r="C802" s="25"/>
      <c r="D802" s="18"/>
      <c r="E802" s="25"/>
      <c r="F802" s="25"/>
      <c r="G802" s="25"/>
      <c r="H802" s="18"/>
      <c r="I802" s="25"/>
      <c r="J802" s="25"/>
      <c r="K802" s="25"/>
    </row>
    <row r="803" spans="1:11" ht="10.5">
      <c r="A803" s="34"/>
      <c r="B803" s="16"/>
      <c r="C803" s="25"/>
      <c r="D803" s="18"/>
      <c r="E803" s="25"/>
      <c r="F803" s="25"/>
      <c r="G803" s="25"/>
      <c r="H803" s="18"/>
      <c r="I803" s="25"/>
      <c r="J803" s="25"/>
      <c r="K803" s="25"/>
    </row>
    <row r="804" spans="1:11" ht="10.5">
      <c r="A804" s="34"/>
      <c r="B804" s="16"/>
      <c r="C804" s="25"/>
      <c r="D804" s="18"/>
      <c r="E804" s="25"/>
      <c r="F804" s="25"/>
      <c r="G804" s="25"/>
      <c r="H804" s="18"/>
      <c r="I804" s="25"/>
      <c r="J804" s="25"/>
      <c r="K804" s="25"/>
    </row>
    <row r="805" spans="1:11" ht="10.5">
      <c r="A805" s="34"/>
      <c r="B805" s="16"/>
      <c r="C805" s="25"/>
      <c r="D805" s="18"/>
      <c r="E805" s="25"/>
      <c r="F805" s="25"/>
      <c r="G805" s="25"/>
      <c r="H805" s="18"/>
      <c r="I805" s="25"/>
      <c r="J805" s="25"/>
      <c r="K805" s="25"/>
    </row>
    <row r="806" spans="1:11" ht="10.5">
      <c r="A806" s="34"/>
      <c r="B806" s="16"/>
      <c r="C806" s="25"/>
      <c r="D806" s="18"/>
      <c r="E806" s="25"/>
      <c r="F806" s="25"/>
      <c r="G806" s="25"/>
      <c r="H806" s="18"/>
      <c r="I806" s="25"/>
      <c r="J806" s="25"/>
      <c r="K806" s="25"/>
    </row>
    <row r="807" spans="1:11" ht="10.5">
      <c r="A807" s="34"/>
      <c r="B807" s="16"/>
      <c r="C807" s="25"/>
      <c r="D807" s="18"/>
      <c r="E807" s="25"/>
      <c r="F807" s="25"/>
      <c r="G807" s="25"/>
      <c r="H807" s="18"/>
      <c r="I807" s="25"/>
      <c r="J807" s="25"/>
      <c r="K807" s="25"/>
    </row>
    <row r="808" spans="1:11" ht="10.5">
      <c r="A808" s="34"/>
      <c r="B808" s="16"/>
      <c r="C808" s="25"/>
      <c r="D808" s="18"/>
      <c r="E808" s="25"/>
      <c r="F808" s="25"/>
      <c r="G808" s="25"/>
      <c r="H808" s="18"/>
      <c r="I808" s="25"/>
      <c r="J808" s="25"/>
      <c r="K808" s="25"/>
    </row>
    <row r="809" spans="1:11" ht="10.5">
      <c r="A809" s="34"/>
      <c r="B809" s="16"/>
      <c r="C809" s="25"/>
      <c r="D809" s="18"/>
      <c r="E809" s="25"/>
      <c r="F809" s="25"/>
      <c r="G809" s="25"/>
      <c r="H809" s="18"/>
      <c r="I809" s="25"/>
      <c r="J809" s="25"/>
      <c r="K809" s="25"/>
    </row>
    <row r="810" spans="1:11" ht="10.5">
      <c r="A810" s="34"/>
      <c r="B810" s="16"/>
      <c r="C810" s="25"/>
      <c r="D810" s="18"/>
      <c r="E810" s="25"/>
      <c r="F810" s="25"/>
      <c r="G810" s="25"/>
      <c r="H810" s="18"/>
      <c r="I810" s="25"/>
      <c r="J810" s="25"/>
      <c r="K810" s="25"/>
    </row>
    <row r="811" spans="1:11" ht="10.5">
      <c r="A811" s="34"/>
      <c r="B811" s="16"/>
      <c r="C811" s="25"/>
      <c r="D811" s="18"/>
      <c r="E811" s="25"/>
      <c r="F811" s="25"/>
      <c r="G811" s="25"/>
      <c r="H811" s="18"/>
      <c r="I811" s="25"/>
      <c r="J811" s="25"/>
      <c r="K811" s="25"/>
    </row>
    <row r="812" spans="1:11" ht="10.5">
      <c r="A812" s="34"/>
      <c r="B812" s="16"/>
      <c r="C812" s="25"/>
      <c r="D812" s="18"/>
      <c r="E812" s="25"/>
      <c r="F812" s="25"/>
      <c r="G812" s="25"/>
      <c r="H812" s="18"/>
      <c r="I812" s="25"/>
      <c r="J812" s="25"/>
      <c r="K812" s="25"/>
    </row>
    <row r="813" spans="1:11" ht="10.5">
      <c r="A813" s="34"/>
      <c r="B813" s="16"/>
      <c r="C813" s="25"/>
      <c r="D813" s="18"/>
      <c r="E813" s="25"/>
      <c r="F813" s="25"/>
      <c r="G813" s="25"/>
      <c r="H813" s="18"/>
      <c r="I813" s="25"/>
      <c r="J813" s="25"/>
      <c r="K813" s="25"/>
    </row>
    <row r="814" spans="1:11" ht="10.5">
      <c r="A814" s="34"/>
      <c r="B814" s="16"/>
      <c r="C814" s="25"/>
      <c r="D814" s="18"/>
      <c r="E814" s="25"/>
      <c r="F814" s="25"/>
      <c r="G814" s="25"/>
      <c r="H814" s="18"/>
      <c r="I814" s="25"/>
      <c r="J814" s="25"/>
      <c r="K814" s="25"/>
    </row>
    <row r="815" spans="1:11" ht="10.5">
      <c r="A815" s="34"/>
      <c r="B815" s="16"/>
      <c r="C815" s="25"/>
      <c r="D815" s="18"/>
      <c r="E815" s="25"/>
      <c r="F815" s="25"/>
      <c r="G815" s="25"/>
      <c r="H815" s="18"/>
      <c r="I815" s="25"/>
      <c r="J815" s="25"/>
      <c r="K815" s="25"/>
    </row>
    <row r="816" spans="1:11" ht="10.5">
      <c r="A816" s="34"/>
      <c r="B816" s="16"/>
      <c r="C816" s="25"/>
      <c r="D816" s="18"/>
      <c r="E816" s="25"/>
      <c r="F816" s="25"/>
      <c r="G816" s="25"/>
      <c r="H816" s="18"/>
      <c r="I816" s="25"/>
      <c r="J816" s="25"/>
      <c r="K816" s="25"/>
    </row>
    <row r="817" spans="1:11" ht="10.5">
      <c r="A817" s="34"/>
      <c r="B817" s="16"/>
      <c r="C817" s="25"/>
      <c r="D817" s="18"/>
      <c r="E817" s="25"/>
      <c r="F817" s="25"/>
      <c r="G817" s="25"/>
      <c r="H817" s="18"/>
      <c r="I817" s="25"/>
      <c r="J817" s="25"/>
      <c r="K817" s="25"/>
    </row>
    <row r="818" spans="1:11" ht="10.5">
      <c r="A818" s="34"/>
      <c r="B818" s="16"/>
      <c r="C818" s="25"/>
      <c r="D818" s="18"/>
      <c r="E818" s="25"/>
      <c r="F818" s="25"/>
      <c r="G818" s="25"/>
      <c r="H818" s="18"/>
      <c r="I818" s="25"/>
      <c r="J818" s="25"/>
      <c r="K818" s="25"/>
    </row>
    <row r="819" spans="1:11" ht="10.5">
      <c r="A819" s="34"/>
      <c r="B819" s="16"/>
      <c r="C819" s="25"/>
      <c r="D819" s="18"/>
      <c r="E819" s="25"/>
      <c r="F819" s="25"/>
      <c r="G819" s="25"/>
      <c r="H819" s="18"/>
      <c r="I819" s="25"/>
      <c r="J819" s="25"/>
      <c r="K819" s="25"/>
    </row>
    <row r="820" spans="1:11" ht="10.5">
      <c r="A820" s="34"/>
      <c r="B820" s="16"/>
      <c r="C820" s="25"/>
      <c r="D820" s="18"/>
      <c r="E820" s="25"/>
      <c r="F820" s="25"/>
      <c r="G820" s="25"/>
      <c r="H820" s="18"/>
      <c r="I820" s="25"/>
      <c r="J820" s="25"/>
      <c r="K820" s="25"/>
    </row>
    <row r="821" spans="1:11" ht="10.5">
      <c r="A821" s="34"/>
      <c r="B821" s="16"/>
      <c r="C821" s="25"/>
      <c r="D821" s="18"/>
      <c r="E821" s="25"/>
      <c r="F821" s="25"/>
      <c r="G821" s="25"/>
      <c r="H821" s="18"/>
      <c r="I821" s="25"/>
      <c r="J821" s="25"/>
      <c r="K821" s="25"/>
    </row>
    <row r="822" spans="1:11" ht="10.5">
      <c r="A822" s="34"/>
      <c r="B822" s="16"/>
      <c r="C822" s="25"/>
      <c r="D822" s="18"/>
      <c r="E822" s="25"/>
      <c r="F822" s="25"/>
      <c r="G822" s="25"/>
      <c r="H822" s="18"/>
      <c r="I822" s="25"/>
      <c r="J822" s="25"/>
      <c r="K822" s="25"/>
    </row>
    <row r="823" spans="1:11" ht="10.5">
      <c r="A823" s="34"/>
      <c r="B823" s="16"/>
      <c r="C823" s="25"/>
      <c r="D823" s="18"/>
      <c r="E823" s="25"/>
      <c r="F823" s="25"/>
      <c r="G823" s="25"/>
      <c r="H823" s="18"/>
      <c r="I823" s="25"/>
      <c r="J823" s="25"/>
      <c r="K823" s="25"/>
    </row>
    <row r="824" spans="1:11" ht="10.5">
      <c r="A824" s="34"/>
      <c r="B824" s="16"/>
      <c r="C824" s="25"/>
      <c r="D824" s="18"/>
      <c r="E824" s="25"/>
      <c r="F824" s="25"/>
      <c r="G824" s="25"/>
      <c r="H824" s="18"/>
      <c r="I824" s="25"/>
      <c r="J824" s="25"/>
      <c r="K824" s="25"/>
    </row>
    <row r="825" spans="1:11" ht="10.5">
      <c r="A825" s="34"/>
      <c r="B825" s="16"/>
      <c r="C825" s="25"/>
      <c r="D825" s="18"/>
      <c r="E825" s="25"/>
      <c r="F825" s="25"/>
      <c r="G825" s="25"/>
      <c r="H825" s="18"/>
      <c r="I825" s="25"/>
      <c r="J825" s="25"/>
      <c r="K825" s="25"/>
    </row>
    <row r="826" spans="1:11" ht="10.5">
      <c r="A826" s="34"/>
      <c r="B826" s="16"/>
      <c r="C826" s="25"/>
      <c r="D826" s="18"/>
      <c r="E826" s="25"/>
      <c r="F826" s="25"/>
      <c r="G826" s="25"/>
      <c r="H826" s="18"/>
      <c r="I826" s="25"/>
      <c r="J826" s="25"/>
      <c r="K826" s="25"/>
    </row>
    <row r="827" spans="1:11" ht="10.5">
      <c r="A827" s="34"/>
      <c r="B827" s="16"/>
      <c r="C827" s="25"/>
      <c r="D827" s="18"/>
      <c r="E827" s="25"/>
      <c r="F827" s="25"/>
      <c r="G827" s="25"/>
      <c r="H827" s="18"/>
      <c r="I827" s="25"/>
      <c r="J827" s="25"/>
      <c r="K827" s="25"/>
    </row>
    <row r="828" spans="1:11" ht="10.5">
      <c r="A828" s="34"/>
      <c r="B828" s="16"/>
      <c r="C828" s="25"/>
      <c r="D828" s="18"/>
      <c r="E828" s="25"/>
      <c r="F828" s="25"/>
      <c r="G828" s="25"/>
      <c r="H828" s="18"/>
      <c r="I828" s="25"/>
      <c r="J828" s="25"/>
      <c r="K828" s="25"/>
    </row>
    <row r="829" spans="1:11" ht="10.5">
      <c r="A829" s="34"/>
      <c r="B829" s="16"/>
      <c r="C829" s="25"/>
      <c r="D829" s="18"/>
      <c r="E829" s="25"/>
      <c r="F829" s="25"/>
      <c r="G829" s="25"/>
      <c r="H829" s="18"/>
      <c r="I829" s="25"/>
      <c r="J829" s="25"/>
      <c r="K829" s="25"/>
    </row>
    <row r="830" spans="1:11" ht="10.5">
      <c r="A830" s="34"/>
      <c r="B830" s="16"/>
      <c r="C830" s="25"/>
      <c r="D830" s="18"/>
      <c r="E830" s="25"/>
      <c r="F830" s="25"/>
      <c r="G830" s="25"/>
      <c r="H830" s="18"/>
      <c r="I830" s="25"/>
      <c r="J830" s="25"/>
      <c r="K830" s="25"/>
    </row>
    <row r="831" spans="1:11" ht="10.5">
      <c r="A831" s="34"/>
      <c r="B831" s="16"/>
      <c r="C831" s="25"/>
      <c r="D831" s="18"/>
      <c r="E831" s="25"/>
      <c r="F831" s="25"/>
      <c r="G831" s="25"/>
      <c r="H831" s="18"/>
      <c r="I831" s="25"/>
      <c r="J831" s="25"/>
      <c r="K831" s="25"/>
    </row>
    <row r="832" spans="1:11" ht="10.5">
      <c r="A832" s="34"/>
      <c r="B832" s="16"/>
      <c r="C832" s="25"/>
      <c r="D832" s="18"/>
      <c r="E832" s="25"/>
      <c r="F832" s="25"/>
      <c r="G832" s="25"/>
      <c r="H832" s="18"/>
      <c r="I832" s="25"/>
      <c r="J832" s="25"/>
      <c r="K832" s="25"/>
    </row>
    <row r="833" spans="1:11" ht="10.5">
      <c r="A833" s="34"/>
      <c r="B833" s="16"/>
      <c r="C833" s="25"/>
      <c r="D833" s="18"/>
      <c r="E833" s="25"/>
      <c r="F833" s="25"/>
      <c r="G833" s="25"/>
      <c r="H833" s="18"/>
      <c r="I833" s="25"/>
      <c r="J833" s="25"/>
      <c r="K833" s="25"/>
    </row>
    <row r="834" spans="1:11" ht="10.5">
      <c r="A834" s="34"/>
      <c r="B834" s="16"/>
      <c r="C834" s="25"/>
      <c r="D834" s="18"/>
      <c r="E834" s="25"/>
      <c r="F834" s="25"/>
      <c r="G834" s="25"/>
      <c r="H834" s="18"/>
      <c r="I834" s="25"/>
      <c r="J834" s="25"/>
      <c r="K834" s="25"/>
    </row>
    <row r="835" spans="1:11" ht="10.5">
      <c r="A835" s="34"/>
      <c r="B835" s="16"/>
      <c r="C835" s="25"/>
      <c r="D835" s="18"/>
      <c r="E835" s="25"/>
      <c r="F835" s="25"/>
      <c r="G835" s="25"/>
      <c r="H835" s="18"/>
      <c r="I835" s="25"/>
      <c r="J835" s="25"/>
      <c r="K835" s="25"/>
    </row>
    <row r="836" spans="1:11" ht="10.5">
      <c r="A836" s="34"/>
      <c r="B836" s="16"/>
      <c r="C836" s="25"/>
      <c r="D836" s="18"/>
      <c r="E836" s="25"/>
      <c r="F836" s="25"/>
      <c r="G836" s="25"/>
      <c r="H836" s="18"/>
      <c r="I836" s="25"/>
      <c r="J836" s="25"/>
      <c r="K836" s="25"/>
    </row>
    <row r="837" spans="1:11" ht="10.5">
      <c r="A837" s="34"/>
      <c r="B837" s="16"/>
      <c r="C837" s="25"/>
      <c r="D837" s="18"/>
      <c r="E837" s="25"/>
      <c r="F837" s="25"/>
      <c r="G837" s="25"/>
      <c r="H837" s="18"/>
      <c r="I837" s="25"/>
      <c r="J837" s="25"/>
      <c r="K837" s="25"/>
    </row>
    <row r="838" spans="1:11" ht="10.5">
      <c r="A838" s="34"/>
      <c r="B838" s="16"/>
      <c r="C838" s="25"/>
      <c r="D838" s="18"/>
      <c r="E838" s="25"/>
      <c r="F838" s="25"/>
      <c r="G838" s="25"/>
      <c r="H838" s="18"/>
      <c r="I838" s="25"/>
      <c r="J838" s="25"/>
      <c r="K838" s="25"/>
    </row>
    <row r="839" spans="1:11" ht="10.5">
      <c r="A839" s="34"/>
      <c r="B839" s="16"/>
      <c r="C839" s="25"/>
      <c r="D839" s="18"/>
      <c r="E839" s="25"/>
      <c r="F839" s="25"/>
      <c r="G839" s="25"/>
      <c r="H839" s="18"/>
      <c r="I839" s="25"/>
      <c r="J839" s="25"/>
      <c r="K839" s="25"/>
    </row>
    <row r="840" spans="1:11" ht="10.5">
      <c r="A840" s="34"/>
      <c r="B840" s="16"/>
      <c r="C840" s="25"/>
      <c r="D840" s="18"/>
      <c r="E840" s="25"/>
      <c r="F840" s="25"/>
      <c r="G840" s="25"/>
      <c r="H840" s="18"/>
      <c r="I840" s="25"/>
      <c r="J840" s="25"/>
      <c r="K840" s="25"/>
    </row>
    <row r="841" spans="1:11" ht="10.5">
      <c r="A841" s="34"/>
      <c r="B841" s="16"/>
      <c r="C841" s="25"/>
      <c r="D841" s="18"/>
      <c r="E841" s="25"/>
      <c r="F841" s="25"/>
      <c r="G841" s="25"/>
      <c r="H841" s="18"/>
      <c r="I841" s="25"/>
      <c r="J841" s="25"/>
      <c r="K841" s="25"/>
    </row>
    <row r="842" spans="1:11" ht="10.5">
      <c r="A842" s="34"/>
      <c r="B842" s="16"/>
      <c r="C842" s="25"/>
      <c r="D842" s="18"/>
      <c r="E842" s="25"/>
      <c r="F842" s="25"/>
      <c r="G842" s="25"/>
      <c r="H842" s="18"/>
      <c r="I842" s="25"/>
      <c r="J842" s="25"/>
      <c r="K842" s="25"/>
    </row>
    <row r="843" spans="1:11" ht="10.5">
      <c r="A843" s="34"/>
      <c r="B843" s="16"/>
      <c r="C843" s="25"/>
      <c r="D843" s="18"/>
      <c r="E843" s="25"/>
      <c r="F843" s="25"/>
      <c r="G843" s="25"/>
      <c r="H843" s="18"/>
      <c r="I843" s="25"/>
      <c r="J843" s="25"/>
      <c r="K843" s="25"/>
    </row>
    <row r="844" spans="1:11" ht="10.5">
      <c r="A844" s="34"/>
      <c r="B844" s="16"/>
      <c r="C844" s="25"/>
      <c r="D844" s="18"/>
      <c r="E844" s="25"/>
      <c r="F844" s="25"/>
      <c r="G844" s="25"/>
      <c r="H844" s="18"/>
      <c r="I844" s="25"/>
      <c r="J844" s="25"/>
      <c r="K844" s="25"/>
    </row>
    <row r="845" spans="1:11" ht="10.5">
      <c r="A845" s="34"/>
      <c r="B845" s="16"/>
      <c r="C845" s="25"/>
      <c r="D845" s="18"/>
      <c r="E845" s="25"/>
      <c r="F845" s="25"/>
      <c r="G845" s="25"/>
      <c r="H845" s="18"/>
      <c r="I845" s="25"/>
      <c r="J845" s="25"/>
      <c r="K845" s="25"/>
    </row>
    <row r="846" spans="1:11" ht="10.5">
      <c r="A846" s="34"/>
      <c r="B846" s="16"/>
      <c r="C846" s="25"/>
      <c r="D846" s="18"/>
      <c r="E846" s="25"/>
      <c r="F846" s="25"/>
      <c r="G846" s="25"/>
      <c r="H846" s="18"/>
      <c r="I846" s="25"/>
      <c r="J846" s="25"/>
      <c r="K846" s="25"/>
    </row>
    <row r="847" spans="1:11" ht="10.5">
      <c r="A847" s="34"/>
      <c r="B847" s="16"/>
      <c r="C847" s="25"/>
      <c r="D847" s="18"/>
      <c r="E847" s="25"/>
      <c r="F847" s="25"/>
      <c r="G847" s="25"/>
      <c r="H847" s="18"/>
      <c r="I847" s="25"/>
      <c r="J847" s="25"/>
      <c r="K847" s="25"/>
    </row>
    <row r="848" spans="1:11" ht="10.5">
      <c r="A848" s="34"/>
      <c r="B848" s="16"/>
      <c r="C848" s="25"/>
      <c r="D848" s="18"/>
      <c r="E848" s="25"/>
      <c r="F848" s="25"/>
      <c r="G848" s="25"/>
      <c r="H848" s="18"/>
      <c r="I848" s="25"/>
      <c r="J848" s="25"/>
      <c r="K848" s="25"/>
    </row>
    <row r="849" spans="1:11" ht="10.5">
      <c r="A849" s="34"/>
      <c r="B849" s="16"/>
      <c r="C849" s="25"/>
      <c r="D849" s="18"/>
      <c r="E849" s="25"/>
      <c r="F849" s="25"/>
      <c r="G849" s="25"/>
      <c r="H849" s="18"/>
      <c r="I849" s="25"/>
      <c r="J849" s="25"/>
      <c r="K849" s="25"/>
    </row>
    <row r="850" spans="1:11" ht="10.5">
      <c r="A850" s="34"/>
      <c r="B850" s="16"/>
      <c r="C850" s="25"/>
      <c r="D850" s="18"/>
      <c r="E850" s="25"/>
      <c r="F850" s="25"/>
      <c r="G850" s="25"/>
      <c r="H850" s="18"/>
      <c r="I850" s="25"/>
      <c r="J850" s="25"/>
      <c r="K850" s="25"/>
    </row>
    <row r="851" spans="1:11" ht="10.5">
      <c r="A851" s="34"/>
      <c r="B851" s="16"/>
      <c r="C851" s="25"/>
      <c r="D851" s="18"/>
      <c r="E851" s="25"/>
      <c r="F851" s="25"/>
      <c r="G851" s="25"/>
      <c r="H851" s="18"/>
      <c r="I851" s="25"/>
      <c r="J851" s="25"/>
      <c r="K851" s="25"/>
    </row>
    <row r="852" spans="1:11" ht="10.5">
      <c r="A852" s="34"/>
      <c r="B852" s="16"/>
      <c r="C852" s="25"/>
      <c r="D852" s="18"/>
      <c r="E852" s="25"/>
      <c r="F852" s="25"/>
      <c r="G852" s="25"/>
      <c r="H852" s="18"/>
      <c r="I852" s="25"/>
      <c r="J852" s="25"/>
      <c r="K852" s="25"/>
    </row>
    <row r="853" spans="1:11" ht="10.5">
      <c r="A853" s="34"/>
      <c r="B853" s="16"/>
      <c r="C853" s="25"/>
      <c r="D853" s="18"/>
      <c r="E853" s="25"/>
      <c r="F853" s="25"/>
      <c r="G853" s="25"/>
      <c r="H853" s="18"/>
      <c r="I853" s="25"/>
      <c r="J853" s="25"/>
      <c r="K853" s="25"/>
    </row>
    <row r="854" spans="1:11" ht="10.5">
      <c r="A854" s="34"/>
      <c r="B854" s="16"/>
      <c r="C854" s="25"/>
      <c r="D854" s="18"/>
      <c r="E854" s="25"/>
      <c r="F854" s="25"/>
      <c r="G854" s="25"/>
      <c r="H854" s="18"/>
      <c r="I854" s="25"/>
      <c r="J854" s="25"/>
      <c r="K854" s="25"/>
    </row>
    <row r="855" spans="1:11" ht="10.5">
      <c r="A855" s="34"/>
      <c r="B855" s="16"/>
      <c r="C855" s="25"/>
      <c r="D855" s="18"/>
      <c r="E855" s="25"/>
      <c r="F855" s="25"/>
      <c r="G855" s="25"/>
      <c r="H855" s="18"/>
      <c r="I855" s="25"/>
      <c r="J855" s="25"/>
      <c r="K855" s="25"/>
    </row>
    <row r="856" spans="1:11" ht="10.5">
      <c r="A856" s="34"/>
      <c r="B856" s="16"/>
      <c r="C856" s="25"/>
      <c r="D856" s="18"/>
      <c r="E856" s="25"/>
      <c r="F856" s="25"/>
      <c r="G856" s="25"/>
      <c r="H856" s="18"/>
      <c r="I856" s="25"/>
      <c r="J856" s="25"/>
      <c r="K856" s="25"/>
    </row>
    <row r="857" spans="1:11" ht="10.5">
      <c r="A857" s="34"/>
      <c r="B857" s="16"/>
      <c r="C857" s="25"/>
      <c r="D857" s="18"/>
      <c r="E857" s="25"/>
      <c r="F857" s="25"/>
      <c r="G857" s="25"/>
      <c r="H857" s="18"/>
      <c r="I857" s="25"/>
      <c r="J857" s="25"/>
      <c r="K857" s="25"/>
    </row>
    <row r="858" spans="1:11" ht="10.5">
      <c r="A858" s="34"/>
      <c r="B858" s="16"/>
      <c r="C858" s="25"/>
      <c r="D858" s="18"/>
      <c r="E858" s="25"/>
      <c r="F858" s="25"/>
      <c r="G858" s="25"/>
      <c r="H858" s="18"/>
      <c r="I858" s="25"/>
      <c r="J858" s="25"/>
      <c r="K858" s="25"/>
    </row>
    <row r="859" spans="1:11" ht="10.5">
      <c r="A859" s="34"/>
      <c r="B859" s="16"/>
      <c r="C859" s="25"/>
      <c r="D859" s="18"/>
      <c r="E859" s="25"/>
      <c r="F859" s="25"/>
      <c r="G859" s="25"/>
      <c r="H859" s="18"/>
      <c r="I859" s="25"/>
      <c r="J859" s="25"/>
      <c r="K859" s="25"/>
    </row>
    <row r="860" spans="1:11" ht="10.5">
      <c r="A860" s="34"/>
      <c r="B860" s="16"/>
      <c r="C860" s="25"/>
      <c r="D860" s="18"/>
      <c r="E860" s="25"/>
      <c r="F860" s="25"/>
      <c r="G860" s="25"/>
      <c r="H860" s="18"/>
      <c r="I860" s="25"/>
      <c r="J860" s="25"/>
      <c r="K860" s="25"/>
    </row>
    <row r="861" spans="1:11" ht="10.5">
      <c r="A861" s="34"/>
      <c r="B861" s="16"/>
      <c r="C861" s="25"/>
      <c r="D861" s="18"/>
      <c r="E861" s="25"/>
      <c r="F861" s="25"/>
      <c r="G861" s="25"/>
      <c r="H861" s="18"/>
      <c r="I861" s="25"/>
      <c r="J861" s="25"/>
      <c r="K861" s="25"/>
    </row>
    <row r="862" spans="1:11" ht="10.5">
      <c r="A862" s="34"/>
      <c r="B862" s="16"/>
      <c r="C862" s="25"/>
      <c r="D862" s="18"/>
      <c r="E862" s="25"/>
      <c r="F862" s="25"/>
      <c r="G862" s="25"/>
      <c r="H862" s="18"/>
      <c r="I862" s="25"/>
      <c r="J862" s="25"/>
      <c r="K862" s="25"/>
    </row>
    <row r="863" spans="1:11" ht="10.5">
      <c r="A863" s="34"/>
      <c r="B863" s="16"/>
      <c r="C863" s="25"/>
      <c r="D863" s="18"/>
      <c r="E863" s="25"/>
      <c r="F863" s="25"/>
      <c r="G863" s="25"/>
      <c r="H863" s="18"/>
      <c r="I863" s="25"/>
      <c r="J863" s="25"/>
      <c r="K863" s="25"/>
    </row>
    <row r="864" spans="1:11" ht="10.5">
      <c r="A864" s="34"/>
      <c r="B864" s="16"/>
      <c r="C864" s="25"/>
      <c r="D864" s="18"/>
      <c r="E864" s="25"/>
      <c r="F864" s="25"/>
      <c r="G864" s="25"/>
      <c r="H864" s="18"/>
      <c r="I864" s="25"/>
      <c r="J864" s="25"/>
      <c r="K864" s="25"/>
    </row>
    <row r="865" spans="1:11" ht="10.5">
      <c r="A865" s="34"/>
      <c r="B865" s="16"/>
      <c r="C865" s="25"/>
      <c r="D865" s="18"/>
      <c r="E865" s="25"/>
      <c r="F865" s="25"/>
      <c r="G865" s="25"/>
      <c r="H865" s="18"/>
      <c r="I865" s="25"/>
      <c r="J865" s="25"/>
      <c r="K865" s="25"/>
    </row>
    <row r="866" spans="1:11" ht="10.5">
      <c r="A866" s="34"/>
      <c r="B866" s="16"/>
      <c r="C866" s="25"/>
      <c r="D866" s="18"/>
      <c r="E866" s="25"/>
      <c r="F866" s="25"/>
      <c r="G866" s="25"/>
      <c r="H866" s="18"/>
      <c r="I866" s="25"/>
      <c r="J866" s="25"/>
      <c r="K866" s="25"/>
    </row>
    <row r="867" spans="1:11" ht="10.5">
      <c r="A867" s="34"/>
      <c r="B867" s="16"/>
      <c r="C867" s="25"/>
      <c r="D867" s="18"/>
      <c r="E867" s="25"/>
      <c r="F867" s="25"/>
      <c r="G867" s="25"/>
      <c r="H867" s="18"/>
      <c r="I867" s="25"/>
      <c r="J867" s="25"/>
      <c r="K867" s="25"/>
    </row>
    <row r="868" spans="1:11" ht="10.5">
      <c r="A868" s="34"/>
      <c r="B868" s="16"/>
      <c r="C868" s="25"/>
      <c r="D868" s="18"/>
      <c r="E868" s="25"/>
      <c r="F868" s="25"/>
      <c r="G868" s="25"/>
      <c r="H868" s="18"/>
      <c r="I868" s="25"/>
      <c r="J868" s="25"/>
      <c r="K868" s="25"/>
    </row>
    <row r="869" spans="1:11" ht="10.5">
      <c r="A869" s="34"/>
      <c r="B869" s="16"/>
      <c r="C869" s="25"/>
      <c r="D869" s="18"/>
      <c r="E869" s="25"/>
      <c r="F869" s="25"/>
      <c r="G869" s="25"/>
      <c r="H869" s="18"/>
      <c r="I869" s="25"/>
      <c r="J869" s="25"/>
      <c r="K869" s="25"/>
    </row>
    <row r="870" spans="1:11" ht="10.5">
      <c r="A870" s="34"/>
      <c r="B870" s="16"/>
      <c r="C870" s="25"/>
      <c r="D870" s="18"/>
      <c r="E870" s="25"/>
      <c r="F870" s="25"/>
      <c r="G870" s="25"/>
      <c r="H870" s="18"/>
      <c r="I870" s="25"/>
      <c r="J870" s="25"/>
      <c r="K870" s="25"/>
    </row>
    <row r="871" spans="1:11" ht="10.5">
      <c r="A871" s="34"/>
      <c r="B871" s="16"/>
      <c r="C871" s="25"/>
      <c r="D871" s="18"/>
      <c r="E871" s="25"/>
      <c r="F871" s="25"/>
      <c r="G871" s="25"/>
      <c r="H871" s="18"/>
      <c r="I871" s="25"/>
      <c r="J871" s="25"/>
      <c r="K871" s="25"/>
    </row>
    <row r="872" spans="1:11" ht="10.5">
      <c r="A872" s="34"/>
      <c r="B872" s="16"/>
      <c r="C872" s="25"/>
      <c r="D872" s="18"/>
      <c r="E872" s="25"/>
      <c r="F872" s="25"/>
      <c r="G872" s="25"/>
      <c r="H872" s="18"/>
      <c r="I872" s="25"/>
      <c r="J872" s="25"/>
      <c r="K872" s="25"/>
    </row>
    <row r="873" spans="1:11" ht="10.5">
      <c r="A873" s="34"/>
      <c r="B873" s="16"/>
      <c r="C873" s="25"/>
      <c r="D873" s="18"/>
      <c r="E873" s="25"/>
      <c r="F873" s="25"/>
      <c r="G873" s="25"/>
      <c r="H873" s="18"/>
      <c r="I873" s="25"/>
      <c r="J873" s="25"/>
      <c r="K873" s="25"/>
    </row>
    <row r="874" spans="1:11" ht="10.5">
      <c r="A874" s="34"/>
      <c r="B874" s="16"/>
      <c r="C874" s="25"/>
      <c r="D874" s="18"/>
      <c r="E874" s="25"/>
      <c r="F874" s="25"/>
      <c r="G874" s="25"/>
      <c r="H874" s="18"/>
      <c r="I874" s="25"/>
      <c r="J874" s="25"/>
      <c r="K874" s="25"/>
    </row>
    <row r="875" spans="1:11" ht="10.5">
      <c r="A875" s="34"/>
      <c r="B875" s="16"/>
      <c r="C875" s="25"/>
      <c r="D875" s="18"/>
      <c r="E875" s="25"/>
      <c r="F875" s="25"/>
      <c r="G875" s="25"/>
      <c r="H875" s="18"/>
      <c r="I875" s="25"/>
      <c r="J875" s="25"/>
      <c r="K875" s="25"/>
    </row>
    <row r="876" spans="1:11" ht="10.5">
      <c r="A876" s="34"/>
      <c r="B876" s="16"/>
      <c r="C876" s="25"/>
      <c r="D876" s="18"/>
      <c r="E876" s="25"/>
      <c r="F876" s="25"/>
      <c r="G876" s="25"/>
      <c r="H876" s="18"/>
      <c r="I876" s="25"/>
      <c r="J876" s="25"/>
      <c r="K876" s="25"/>
    </row>
    <row r="877" spans="1:11" ht="10.5">
      <c r="A877" s="34"/>
      <c r="B877" s="16"/>
      <c r="C877" s="25"/>
      <c r="D877" s="18"/>
      <c r="E877" s="25"/>
      <c r="F877" s="25"/>
      <c r="G877" s="25"/>
      <c r="H877" s="18"/>
      <c r="I877" s="25"/>
      <c r="J877" s="25"/>
      <c r="K877" s="25"/>
    </row>
    <row r="878" spans="1:11" ht="10.5">
      <c r="A878" s="34"/>
      <c r="B878" s="16"/>
      <c r="C878" s="25"/>
      <c r="D878" s="18"/>
      <c r="E878" s="25"/>
      <c r="F878" s="25"/>
      <c r="G878" s="25"/>
      <c r="H878" s="18"/>
      <c r="I878" s="25"/>
      <c r="J878" s="25"/>
      <c r="K878" s="25"/>
    </row>
    <row r="879" spans="1:11" ht="10.5">
      <c r="A879" s="34"/>
      <c r="B879" s="16"/>
      <c r="C879" s="25"/>
      <c r="D879" s="18"/>
      <c r="E879" s="25"/>
      <c r="F879" s="25"/>
      <c r="G879" s="25"/>
      <c r="H879" s="18"/>
      <c r="I879" s="25"/>
      <c r="J879" s="25"/>
      <c r="K879" s="25"/>
    </row>
    <row r="880" spans="1:11" ht="10.5">
      <c r="A880" s="34"/>
      <c r="B880" s="16"/>
      <c r="C880" s="25"/>
      <c r="D880" s="18"/>
      <c r="E880" s="25"/>
      <c r="F880" s="25"/>
      <c r="G880" s="25"/>
      <c r="H880" s="18"/>
      <c r="I880" s="25"/>
      <c r="J880" s="25"/>
      <c r="K880" s="25"/>
    </row>
    <row r="881" spans="1:11" ht="10.5">
      <c r="A881" s="34"/>
      <c r="B881" s="16"/>
      <c r="C881" s="25"/>
      <c r="D881" s="18"/>
      <c r="E881" s="25"/>
      <c r="F881" s="25"/>
      <c r="G881" s="25"/>
      <c r="H881" s="18"/>
      <c r="I881" s="25"/>
      <c r="J881" s="25"/>
      <c r="K881" s="25"/>
    </row>
    <row r="882" spans="1:11" ht="10.5">
      <c r="A882" s="34"/>
      <c r="B882" s="16"/>
      <c r="C882" s="25"/>
      <c r="D882" s="18"/>
      <c r="E882" s="25"/>
      <c r="F882" s="25"/>
      <c r="G882" s="25"/>
      <c r="H882" s="18"/>
      <c r="I882" s="25"/>
      <c r="J882" s="25"/>
      <c r="K882" s="25"/>
    </row>
    <row r="883" spans="1:11" ht="10.5">
      <c r="A883" s="34"/>
      <c r="B883" s="16"/>
      <c r="C883" s="25"/>
      <c r="D883" s="18"/>
      <c r="E883" s="25"/>
      <c r="F883" s="25"/>
      <c r="G883" s="25"/>
      <c r="H883" s="18"/>
      <c r="I883" s="25"/>
      <c r="J883" s="25"/>
      <c r="K883" s="25"/>
    </row>
    <row r="884" spans="1:11" ht="10.5">
      <c r="A884" s="34"/>
      <c r="B884" s="16"/>
      <c r="C884" s="25"/>
      <c r="D884" s="18"/>
      <c r="E884" s="25"/>
      <c r="F884" s="25"/>
      <c r="G884" s="25"/>
      <c r="H884" s="18"/>
      <c r="I884" s="25"/>
      <c r="J884" s="25"/>
      <c r="K884" s="25"/>
    </row>
    <row r="885" spans="1:11" ht="10.5">
      <c r="A885" s="34"/>
      <c r="B885" s="16"/>
      <c r="C885" s="25"/>
      <c r="D885" s="18"/>
      <c r="E885" s="25"/>
      <c r="F885" s="25"/>
      <c r="G885" s="25"/>
      <c r="H885" s="18"/>
      <c r="I885" s="25"/>
      <c r="J885" s="25"/>
      <c r="K885" s="25"/>
    </row>
    <row r="886" spans="1:11" ht="10.5">
      <c r="A886" s="34"/>
      <c r="B886" s="16"/>
      <c r="C886" s="25"/>
      <c r="D886" s="18"/>
      <c r="E886" s="25"/>
      <c r="F886" s="25"/>
      <c r="G886" s="25"/>
      <c r="H886" s="18"/>
      <c r="I886" s="25"/>
      <c r="J886" s="25"/>
      <c r="K886" s="25"/>
    </row>
    <row r="887" spans="1:11" ht="10.5">
      <c r="A887" s="34"/>
      <c r="B887" s="16"/>
      <c r="C887" s="25"/>
      <c r="D887" s="18"/>
      <c r="E887" s="25"/>
      <c r="F887" s="25"/>
      <c r="G887" s="25"/>
      <c r="H887" s="18"/>
      <c r="I887" s="25"/>
      <c r="J887" s="25"/>
      <c r="K887" s="25"/>
    </row>
    <row r="888" spans="1:11" ht="10.5">
      <c r="A888" s="34"/>
      <c r="B888" s="16"/>
      <c r="C888" s="25"/>
      <c r="D888" s="18"/>
      <c r="E888" s="25"/>
      <c r="F888" s="25"/>
      <c r="G888" s="25"/>
      <c r="H888" s="18"/>
      <c r="I888" s="25"/>
      <c r="J888" s="25"/>
      <c r="K888" s="25"/>
    </row>
    <row r="889" spans="1:11" ht="10.5">
      <c r="A889" s="34"/>
      <c r="B889" s="16"/>
      <c r="C889" s="25"/>
      <c r="D889" s="18"/>
      <c r="E889" s="25"/>
      <c r="F889" s="25"/>
      <c r="G889" s="25"/>
      <c r="H889" s="18"/>
      <c r="I889" s="25"/>
      <c r="J889" s="25"/>
      <c r="K889" s="25"/>
    </row>
    <row r="890" spans="1:11" ht="10.5">
      <c r="A890" s="34"/>
      <c r="B890" s="16"/>
      <c r="C890" s="25"/>
      <c r="D890" s="18"/>
      <c r="E890" s="25"/>
      <c r="F890" s="25"/>
      <c r="G890" s="25"/>
      <c r="H890" s="18"/>
      <c r="I890" s="25"/>
      <c r="J890" s="25"/>
      <c r="K890" s="25"/>
    </row>
    <row r="891" spans="1:11" ht="10.5">
      <c r="A891" s="34"/>
      <c r="B891" s="16"/>
      <c r="C891" s="25"/>
      <c r="D891" s="18"/>
      <c r="E891" s="25"/>
      <c r="F891" s="25"/>
      <c r="G891" s="25"/>
      <c r="H891" s="18"/>
      <c r="I891" s="25"/>
      <c r="J891" s="25"/>
      <c r="K891" s="25"/>
    </row>
    <row r="892" spans="1:11" ht="10.5">
      <c r="A892" s="34"/>
      <c r="B892" s="16"/>
      <c r="C892" s="25"/>
      <c r="D892" s="18"/>
      <c r="E892" s="25"/>
      <c r="F892" s="25"/>
      <c r="G892" s="25"/>
      <c r="H892" s="18"/>
      <c r="I892" s="25"/>
      <c r="J892" s="25"/>
      <c r="K892" s="25"/>
    </row>
    <row r="893" spans="1:11" ht="10.5">
      <c r="A893" s="34"/>
      <c r="B893" s="16"/>
      <c r="C893" s="25"/>
      <c r="D893" s="18"/>
      <c r="E893" s="25"/>
      <c r="F893" s="25"/>
      <c r="G893" s="25"/>
      <c r="H893" s="18"/>
      <c r="I893" s="25"/>
      <c r="J893" s="25"/>
      <c r="K893" s="25"/>
    </row>
    <row r="894" spans="1:11" ht="10.5">
      <c r="A894" s="34"/>
      <c r="B894" s="16"/>
      <c r="C894" s="25"/>
      <c r="D894" s="18"/>
      <c r="E894" s="25"/>
      <c r="F894" s="25"/>
      <c r="G894" s="25"/>
      <c r="H894" s="18"/>
      <c r="I894" s="25"/>
      <c r="J894" s="25"/>
      <c r="K894" s="25"/>
    </row>
    <row r="895" spans="1:11" ht="10.5">
      <c r="A895" s="34"/>
      <c r="B895" s="16"/>
      <c r="C895" s="25"/>
      <c r="D895" s="18"/>
      <c r="E895" s="25"/>
      <c r="F895" s="25"/>
      <c r="G895" s="25"/>
      <c r="H895" s="18"/>
      <c r="I895" s="25"/>
      <c r="J895" s="25"/>
      <c r="K895" s="25"/>
    </row>
    <row r="896" spans="1:11" ht="10.5">
      <c r="A896" s="34"/>
      <c r="B896" s="16"/>
      <c r="C896" s="25"/>
      <c r="D896" s="18"/>
      <c r="E896" s="25"/>
      <c r="F896" s="25"/>
      <c r="G896" s="25"/>
      <c r="H896" s="18"/>
      <c r="I896" s="25"/>
      <c r="J896" s="25"/>
      <c r="K896" s="25"/>
    </row>
    <row r="897" spans="1:11" ht="10.5">
      <c r="A897" s="34"/>
      <c r="B897" s="16"/>
      <c r="C897" s="25"/>
      <c r="D897" s="18"/>
      <c r="E897" s="25"/>
      <c r="F897" s="25"/>
      <c r="G897" s="25"/>
      <c r="H897" s="18"/>
      <c r="I897" s="25"/>
      <c r="J897" s="25"/>
      <c r="K897" s="25"/>
    </row>
    <row r="898" spans="1:11" ht="10.5">
      <c r="A898" s="34"/>
      <c r="B898" s="16"/>
      <c r="C898" s="25"/>
      <c r="D898" s="18"/>
      <c r="E898" s="25"/>
      <c r="F898" s="25"/>
      <c r="G898" s="25"/>
      <c r="H898" s="18"/>
      <c r="I898" s="25"/>
      <c r="J898" s="25"/>
      <c r="K898" s="25"/>
    </row>
    <row r="899" spans="1:11" ht="10.5">
      <c r="A899" s="34"/>
      <c r="B899" s="16"/>
      <c r="C899" s="25"/>
      <c r="D899" s="18"/>
      <c r="E899" s="25"/>
      <c r="F899" s="25"/>
      <c r="G899" s="25"/>
      <c r="H899" s="18"/>
      <c r="I899" s="25"/>
      <c r="J899" s="25"/>
      <c r="K899" s="25"/>
    </row>
    <row r="900" spans="1:11" ht="10.5">
      <c r="A900" s="34"/>
      <c r="B900" s="16"/>
      <c r="C900" s="25"/>
      <c r="D900" s="18"/>
      <c r="E900" s="25"/>
      <c r="F900" s="25"/>
      <c r="G900" s="25"/>
      <c r="H900" s="18"/>
      <c r="I900" s="25"/>
      <c r="J900" s="25"/>
      <c r="K900" s="25"/>
    </row>
    <row r="901" spans="1:11" ht="10.5">
      <c r="A901" s="34"/>
      <c r="B901" s="16"/>
      <c r="C901" s="25"/>
      <c r="D901" s="18"/>
      <c r="E901" s="25"/>
      <c r="F901" s="25"/>
      <c r="G901" s="25"/>
      <c r="H901" s="18"/>
      <c r="I901" s="25"/>
      <c r="J901" s="25"/>
      <c r="K901" s="25"/>
    </row>
    <row r="902" spans="1:11" ht="10.5">
      <c r="A902" s="34"/>
      <c r="B902" s="16"/>
      <c r="C902" s="25"/>
      <c r="D902" s="18"/>
      <c r="E902" s="25"/>
      <c r="F902" s="25"/>
      <c r="G902" s="25"/>
      <c r="H902" s="18"/>
      <c r="I902" s="25"/>
      <c r="J902" s="25"/>
      <c r="K902" s="25"/>
    </row>
    <row r="903" spans="1:11" ht="10.5">
      <c r="A903" s="34"/>
      <c r="B903" s="16"/>
      <c r="C903" s="25"/>
      <c r="D903" s="18"/>
      <c r="E903" s="25"/>
      <c r="F903" s="25"/>
      <c r="G903" s="25"/>
      <c r="H903" s="18"/>
      <c r="I903" s="25"/>
      <c r="J903" s="25"/>
      <c r="K903" s="25"/>
    </row>
    <row r="904" spans="1:11" ht="10.5">
      <c r="A904" s="34"/>
      <c r="B904" s="16"/>
      <c r="C904" s="25"/>
      <c r="D904" s="18"/>
      <c r="E904" s="25"/>
      <c r="F904" s="25"/>
      <c r="G904" s="25"/>
      <c r="H904" s="18"/>
      <c r="I904" s="25"/>
      <c r="J904" s="25"/>
      <c r="K904" s="25"/>
    </row>
    <row r="905" spans="1:11" ht="10.5">
      <c r="A905" s="34"/>
      <c r="B905" s="16"/>
      <c r="C905" s="25"/>
      <c r="D905" s="18"/>
      <c r="E905" s="25"/>
      <c r="F905" s="25"/>
      <c r="G905" s="25"/>
      <c r="H905" s="18"/>
      <c r="I905" s="25"/>
      <c r="J905" s="25"/>
      <c r="K905" s="25"/>
    </row>
    <row r="906" spans="1:11" ht="10.5">
      <c r="A906" s="34"/>
      <c r="B906" s="16"/>
      <c r="C906" s="25"/>
      <c r="D906" s="18"/>
      <c r="E906" s="25"/>
      <c r="F906" s="25"/>
      <c r="G906" s="25"/>
      <c r="H906" s="18"/>
      <c r="I906" s="25"/>
      <c r="J906" s="25"/>
      <c r="K906" s="25"/>
    </row>
    <row r="907" spans="1:11" ht="10.5">
      <c r="A907" s="34"/>
      <c r="B907" s="16"/>
      <c r="C907" s="25"/>
      <c r="D907" s="18"/>
      <c r="E907" s="25"/>
      <c r="F907" s="25"/>
      <c r="G907" s="25"/>
      <c r="H907" s="18"/>
      <c r="I907" s="25"/>
      <c r="J907" s="25"/>
      <c r="K907" s="25"/>
    </row>
    <row r="908" spans="1:11" ht="10.5">
      <c r="A908" s="34"/>
      <c r="B908" s="16"/>
      <c r="C908" s="25"/>
      <c r="D908" s="18"/>
      <c r="E908" s="25"/>
      <c r="F908" s="25"/>
      <c r="G908" s="25"/>
      <c r="H908" s="18"/>
      <c r="I908" s="25"/>
      <c r="J908" s="25"/>
      <c r="K908" s="25"/>
    </row>
    <row r="909" spans="1:11" ht="10.5">
      <c r="A909" s="34"/>
      <c r="B909" s="16"/>
      <c r="C909" s="25"/>
      <c r="D909" s="18"/>
      <c r="E909" s="25"/>
      <c r="F909" s="25"/>
      <c r="G909" s="25"/>
      <c r="H909" s="18"/>
      <c r="I909" s="25"/>
      <c r="J909" s="25"/>
      <c r="K909" s="25"/>
    </row>
    <row r="910" spans="1:11" ht="10.5">
      <c r="A910" s="34"/>
      <c r="B910" s="16"/>
      <c r="C910" s="25"/>
      <c r="D910" s="18"/>
      <c r="E910" s="25"/>
      <c r="F910" s="25"/>
      <c r="G910" s="25"/>
      <c r="H910" s="18"/>
      <c r="I910" s="25"/>
      <c r="J910" s="25"/>
      <c r="K910" s="25"/>
    </row>
    <row r="911" spans="1:11" ht="10.5">
      <c r="A911" s="34"/>
      <c r="B911" s="16"/>
      <c r="C911" s="25"/>
      <c r="D911" s="18"/>
      <c r="E911" s="25"/>
      <c r="F911" s="25"/>
      <c r="G911" s="25"/>
      <c r="H911" s="18"/>
      <c r="I911" s="25"/>
      <c r="J911" s="25"/>
      <c r="K911" s="25"/>
    </row>
    <row r="912" spans="1:11" ht="10.5">
      <c r="A912" s="34"/>
      <c r="B912" s="16"/>
      <c r="C912" s="25"/>
      <c r="D912" s="18"/>
      <c r="E912" s="25"/>
      <c r="F912" s="25"/>
      <c r="G912" s="25"/>
      <c r="H912" s="18"/>
      <c r="I912" s="25"/>
      <c r="J912" s="25"/>
      <c r="K912" s="25"/>
    </row>
    <row r="913" spans="1:11" ht="10.5">
      <c r="A913" s="34"/>
      <c r="B913" s="16"/>
      <c r="C913" s="25"/>
      <c r="D913" s="18"/>
      <c r="E913" s="25"/>
      <c r="F913" s="25"/>
      <c r="G913" s="25"/>
      <c r="H913" s="18"/>
      <c r="I913" s="25"/>
      <c r="J913" s="25"/>
      <c r="K913" s="25"/>
    </row>
    <row r="914" spans="1:11" ht="10.5">
      <c r="A914" s="34"/>
      <c r="B914" s="16"/>
      <c r="C914" s="25"/>
      <c r="D914" s="18"/>
      <c r="E914" s="25"/>
      <c r="F914" s="25"/>
      <c r="G914" s="25"/>
      <c r="H914" s="18"/>
      <c r="I914" s="25"/>
      <c r="J914" s="25"/>
      <c r="K914" s="25"/>
    </row>
    <row r="915" spans="1:11" ht="10.5">
      <c r="A915" s="34"/>
      <c r="B915" s="16"/>
      <c r="C915" s="25"/>
      <c r="D915" s="18"/>
      <c r="E915" s="25"/>
      <c r="F915" s="25"/>
      <c r="G915" s="25"/>
      <c r="H915" s="18"/>
      <c r="I915" s="25"/>
      <c r="J915" s="25"/>
      <c r="K915" s="25"/>
    </row>
    <row r="916" spans="1:11" ht="10.5">
      <c r="A916" s="34"/>
      <c r="B916" s="16"/>
      <c r="C916" s="25"/>
      <c r="D916" s="18"/>
      <c r="E916" s="25"/>
      <c r="F916" s="25"/>
      <c r="G916" s="25"/>
      <c r="H916" s="18"/>
      <c r="I916" s="25"/>
      <c r="J916" s="25"/>
      <c r="K916" s="25"/>
    </row>
    <row r="917" spans="1:11" ht="10.5">
      <c r="A917" s="34"/>
      <c r="B917" s="16"/>
      <c r="C917" s="25"/>
      <c r="D917" s="18"/>
      <c r="E917" s="25"/>
      <c r="F917" s="25"/>
      <c r="G917" s="25"/>
      <c r="H917" s="18"/>
      <c r="I917" s="25"/>
      <c r="J917" s="25"/>
      <c r="K917" s="25"/>
    </row>
    <row r="918" spans="1:11" ht="10.5">
      <c r="A918" s="34"/>
      <c r="B918" s="16"/>
      <c r="C918" s="25"/>
      <c r="D918" s="18"/>
      <c r="E918" s="25"/>
      <c r="F918" s="25"/>
      <c r="G918" s="25"/>
      <c r="H918" s="18"/>
      <c r="I918" s="25"/>
      <c r="J918" s="25"/>
      <c r="K918" s="25"/>
    </row>
    <row r="919" spans="1:11" ht="10.5">
      <c r="A919" s="34"/>
      <c r="B919" s="16"/>
      <c r="C919" s="25"/>
      <c r="D919" s="18"/>
      <c r="E919" s="25"/>
      <c r="F919" s="25"/>
      <c r="G919" s="25"/>
      <c r="H919" s="18"/>
      <c r="I919" s="25"/>
      <c r="J919" s="25"/>
      <c r="K919" s="25"/>
    </row>
    <row r="920" spans="1:11" ht="10.5">
      <c r="A920" s="34"/>
      <c r="B920" s="16"/>
      <c r="C920" s="25"/>
      <c r="D920" s="18"/>
      <c r="E920" s="25"/>
      <c r="F920" s="25"/>
      <c r="G920" s="25"/>
      <c r="H920" s="18"/>
      <c r="I920" s="25"/>
      <c r="J920" s="25"/>
      <c r="K920" s="25"/>
    </row>
    <row r="921" spans="1:11" ht="10.5">
      <c r="A921" s="34"/>
      <c r="B921" s="16"/>
      <c r="C921" s="25"/>
      <c r="D921" s="18"/>
      <c r="E921" s="25"/>
      <c r="F921" s="25"/>
      <c r="G921" s="25"/>
      <c r="H921" s="18"/>
      <c r="I921" s="25"/>
      <c r="J921" s="25"/>
      <c r="K921" s="25"/>
    </row>
    <row r="922" spans="1:11" ht="10.5">
      <c r="A922" s="34"/>
      <c r="B922" s="16"/>
      <c r="C922" s="25"/>
      <c r="D922" s="18"/>
      <c r="E922" s="25"/>
      <c r="F922" s="25"/>
      <c r="G922" s="25"/>
      <c r="H922" s="18"/>
      <c r="I922" s="25"/>
      <c r="J922" s="25"/>
      <c r="K922" s="25"/>
    </row>
    <row r="923" spans="1:11" ht="10.5">
      <c r="A923" s="34"/>
      <c r="B923" s="16"/>
      <c r="C923" s="25"/>
      <c r="D923" s="18"/>
      <c r="E923" s="25"/>
      <c r="F923" s="25"/>
      <c r="G923" s="25"/>
      <c r="H923" s="18"/>
      <c r="I923" s="25"/>
      <c r="J923" s="25"/>
      <c r="K923" s="25"/>
    </row>
    <row r="924" spans="1:11" ht="10.5">
      <c r="A924" s="34"/>
      <c r="B924" s="16"/>
      <c r="C924" s="25"/>
      <c r="D924" s="18"/>
      <c r="E924" s="25"/>
      <c r="F924" s="25"/>
      <c r="G924" s="25"/>
      <c r="H924" s="18"/>
      <c r="I924" s="25"/>
      <c r="J924" s="25"/>
      <c r="K924" s="25"/>
    </row>
    <row r="925" spans="1:11" ht="10.5">
      <c r="A925" s="34"/>
      <c r="B925" s="16"/>
      <c r="C925" s="25"/>
      <c r="D925" s="18"/>
      <c r="E925" s="25"/>
      <c r="F925" s="25"/>
      <c r="G925" s="25"/>
      <c r="H925" s="18"/>
      <c r="I925" s="25"/>
      <c r="J925" s="25"/>
      <c r="K925" s="25"/>
    </row>
    <row r="926" spans="1:11" ht="10.5">
      <c r="A926" s="34"/>
      <c r="B926" s="16"/>
      <c r="C926" s="25"/>
      <c r="D926" s="18"/>
      <c r="E926" s="25"/>
      <c r="F926" s="25"/>
      <c r="G926" s="25"/>
      <c r="H926" s="18"/>
      <c r="I926" s="25"/>
      <c r="J926" s="25"/>
      <c r="K926" s="25"/>
    </row>
    <row r="927" spans="1:11" ht="10.5">
      <c r="A927" s="34"/>
      <c r="B927" s="16"/>
      <c r="C927" s="25"/>
      <c r="D927" s="18"/>
      <c r="E927" s="25"/>
      <c r="F927" s="25"/>
      <c r="G927" s="25"/>
      <c r="H927" s="18"/>
      <c r="I927" s="25"/>
      <c r="J927" s="25"/>
      <c r="K927" s="25"/>
    </row>
    <row r="928" spans="1:11" ht="10.5">
      <c r="A928" s="34"/>
      <c r="B928" s="16"/>
      <c r="C928" s="25"/>
      <c r="D928" s="18"/>
      <c r="E928" s="25"/>
      <c r="F928" s="25"/>
      <c r="G928" s="25"/>
      <c r="H928" s="18"/>
      <c r="I928" s="25"/>
      <c r="J928" s="25"/>
      <c r="K928" s="25"/>
    </row>
    <row r="929" spans="1:11" ht="10.5">
      <c r="A929" s="34"/>
      <c r="B929" s="16"/>
      <c r="C929" s="25"/>
      <c r="D929" s="18"/>
      <c r="E929" s="25"/>
      <c r="F929" s="25"/>
      <c r="G929" s="25"/>
      <c r="H929" s="18"/>
      <c r="I929" s="25"/>
      <c r="J929" s="25"/>
      <c r="K929" s="25"/>
    </row>
    <row r="930" spans="1:11" ht="10.5">
      <c r="A930" s="34"/>
      <c r="B930" s="16"/>
      <c r="C930" s="25"/>
      <c r="D930" s="18"/>
      <c r="E930" s="25"/>
      <c r="F930" s="25"/>
      <c r="G930" s="25"/>
      <c r="H930" s="18"/>
      <c r="I930" s="25"/>
      <c r="J930" s="25"/>
      <c r="K930" s="25"/>
    </row>
    <row r="931" spans="1:11" ht="10.5">
      <c r="A931" s="34"/>
      <c r="B931" s="16"/>
      <c r="C931" s="25"/>
      <c r="D931" s="18"/>
      <c r="E931" s="25"/>
      <c r="F931" s="25"/>
      <c r="G931" s="25"/>
      <c r="H931" s="18"/>
      <c r="I931" s="25"/>
      <c r="J931" s="25"/>
      <c r="K931" s="25"/>
    </row>
    <row r="932" spans="1:11" ht="10.5">
      <c r="A932" s="34"/>
      <c r="B932" s="16"/>
      <c r="C932" s="25"/>
      <c r="D932" s="18"/>
      <c r="E932" s="25"/>
      <c r="F932" s="25"/>
      <c r="G932" s="25"/>
      <c r="H932" s="18"/>
      <c r="I932" s="25"/>
      <c r="J932" s="25"/>
      <c r="K932" s="25"/>
    </row>
    <row r="933" spans="1:11" ht="10.5">
      <c r="A933" s="34"/>
      <c r="B933" s="16"/>
      <c r="C933" s="25"/>
      <c r="D933" s="18"/>
      <c r="E933" s="25"/>
      <c r="F933" s="25"/>
      <c r="G933" s="25"/>
      <c r="H933" s="18"/>
      <c r="I933" s="25"/>
      <c r="J933" s="25"/>
      <c r="K933" s="25"/>
    </row>
    <row r="934" spans="1:11" ht="10.5">
      <c r="A934" s="34"/>
      <c r="B934" s="16"/>
      <c r="C934" s="25"/>
      <c r="D934" s="18"/>
      <c r="E934" s="25"/>
      <c r="F934" s="25"/>
      <c r="G934" s="25"/>
      <c r="H934" s="18"/>
      <c r="I934" s="25"/>
      <c r="J934" s="25"/>
      <c r="K934" s="25"/>
    </row>
    <row r="935" spans="1:11" ht="10.5">
      <c r="A935" s="34"/>
      <c r="B935" s="16"/>
      <c r="C935" s="25"/>
      <c r="D935" s="18"/>
      <c r="E935" s="25"/>
      <c r="F935" s="25"/>
      <c r="G935" s="25"/>
      <c r="H935" s="18"/>
      <c r="I935" s="25"/>
      <c r="J935" s="25"/>
      <c r="K935" s="25"/>
    </row>
    <row r="936" spans="1:11" ht="10.5">
      <c r="A936" s="34"/>
      <c r="B936" s="16"/>
      <c r="C936" s="25"/>
      <c r="D936" s="18"/>
      <c r="E936" s="25"/>
      <c r="F936" s="25"/>
      <c r="G936" s="25"/>
      <c r="H936" s="18"/>
      <c r="I936" s="25"/>
      <c r="J936" s="25"/>
      <c r="K936" s="25"/>
    </row>
    <row r="937" spans="1:11" ht="10.5">
      <c r="A937" s="34"/>
      <c r="B937" s="16"/>
      <c r="C937" s="25"/>
      <c r="D937" s="18"/>
      <c r="E937" s="25"/>
      <c r="F937" s="25"/>
      <c r="G937" s="25"/>
      <c r="H937" s="18"/>
      <c r="I937" s="25"/>
      <c r="J937" s="25"/>
      <c r="K937" s="25"/>
    </row>
    <row r="938" spans="1:11" ht="10.5">
      <c r="A938" s="34"/>
      <c r="B938" s="16"/>
      <c r="C938" s="25"/>
      <c r="D938" s="18"/>
      <c r="E938" s="25"/>
      <c r="F938" s="25"/>
      <c r="G938" s="25"/>
      <c r="H938" s="18"/>
      <c r="I938" s="25"/>
      <c r="J938" s="25"/>
      <c r="K938" s="25"/>
    </row>
    <row r="939" spans="1:11" ht="10.5">
      <c r="A939" s="34"/>
      <c r="B939" s="16"/>
      <c r="C939" s="25"/>
      <c r="D939" s="18"/>
      <c r="E939" s="25"/>
      <c r="F939" s="25"/>
      <c r="G939" s="25"/>
      <c r="H939" s="18"/>
      <c r="I939" s="25"/>
      <c r="J939" s="25"/>
      <c r="K939" s="25"/>
    </row>
    <row r="940" spans="1:11" ht="10.5">
      <c r="A940" s="34"/>
      <c r="B940" s="16"/>
      <c r="C940" s="25"/>
      <c r="D940" s="18"/>
      <c r="E940" s="25"/>
      <c r="F940" s="25"/>
      <c r="G940" s="25"/>
      <c r="H940" s="18"/>
      <c r="I940" s="25"/>
      <c r="J940" s="25"/>
      <c r="K940" s="25"/>
    </row>
    <row r="941" spans="1:11" ht="10.5">
      <c r="A941" s="34"/>
      <c r="B941" s="16"/>
      <c r="C941" s="25"/>
      <c r="D941" s="18"/>
      <c r="E941" s="25"/>
      <c r="F941" s="25"/>
      <c r="G941" s="25"/>
      <c r="H941" s="18"/>
      <c r="I941" s="25"/>
      <c r="J941" s="25"/>
      <c r="K941" s="25"/>
    </row>
    <row r="942" spans="1:11" ht="10.5">
      <c r="A942" s="34"/>
      <c r="B942" s="16"/>
      <c r="C942" s="25"/>
      <c r="D942" s="18"/>
      <c r="E942" s="25"/>
      <c r="F942" s="25"/>
      <c r="G942" s="25"/>
      <c r="H942" s="18"/>
      <c r="I942" s="25"/>
      <c r="J942" s="25"/>
      <c r="K942" s="25"/>
    </row>
    <row r="943" spans="1:11" ht="10.5">
      <c r="A943" s="34"/>
      <c r="B943" s="16"/>
      <c r="C943" s="25"/>
      <c r="D943" s="18"/>
      <c r="E943" s="25"/>
      <c r="F943" s="25"/>
      <c r="G943" s="25"/>
      <c r="H943" s="18"/>
      <c r="I943" s="25"/>
      <c r="J943" s="25"/>
      <c r="K943" s="25"/>
    </row>
    <row r="944" spans="1:11" ht="10.5">
      <c r="A944" s="34"/>
      <c r="B944" s="16"/>
      <c r="C944" s="25"/>
      <c r="D944" s="18"/>
      <c r="E944" s="25"/>
      <c r="F944" s="25"/>
      <c r="G944" s="25"/>
      <c r="H944" s="18"/>
      <c r="I944" s="25"/>
      <c r="J944" s="25"/>
      <c r="K944" s="25"/>
    </row>
    <row r="945" spans="1:11" ht="10.5">
      <c r="A945" s="34"/>
      <c r="B945" s="16"/>
      <c r="C945" s="25"/>
      <c r="D945" s="18"/>
      <c r="E945" s="25"/>
      <c r="F945" s="25"/>
      <c r="G945" s="25"/>
      <c r="H945" s="18"/>
      <c r="I945" s="25"/>
      <c r="J945" s="25"/>
      <c r="K945" s="25"/>
    </row>
    <row r="946" spans="1:11" ht="10.5">
      <c r="A946" s="34"/>
      <c r="B946" s="16"/>
      <c r="C946" s="25"/>
      <c r="D946" s="18"/>
      <c r="E946" s="25"/>
      <c r="F946" s="25"/>
      <c r="G946" s="25"/>
      <c r="H946" s="18"/>
      <c r="I946" s="25"/>
      <c r="J946" s="25"/>
      <c r="K946" s="25"/>
    </row>
    <row r="947" spans="1:11" ht="10.5">
      <c r="A947" s="34"/>
      <c r="B947" s="16"/>
      <c r="C947" s="25"/>
      <c r="D947" s="18"/>
      <c r="E947" s="25"/>
      <c r="F947" s="25"/>
      <c r="G947" s="25"/>
      <c r="H947" s="18"/>
      <c r="I947" s="25"/>
      <c r="J947" s="25"/>
      <c r="K947" s="25"/>
    </row>
    <row r="948" spans="1:11" ht="10.5">
      <c r="A948" s="34"/>
      <c r="B948" s="16"/>
      <c r="C948" s="25"/>
      <c r="D948" s="18"/>
      <c r="E948" s="25"/>
      <c r="F948" s="25"/>
      <c r="G948" s="25"/>
      <c r="H948" s="18"/>
      <c r="I948" s="25"/>
      <c r="J948" s="25"/>
      <c r="K948" s="25"/>
    </row>
    <row r="949" spans="1:11" ht="10.5">
      <c r="A949" s="34"/>
      <c r="B949" s="16"/>
      <c r="C949" s="25"/>
      <c r="D949" s="18"/>
      <c r="E949" s="25"/>
      <c r="F949" s="25"/>
      <c r="G949" s="25"/>
      <c r="H949" s="18"/>
      <c r="I949" s="25"/>
      <c r="J949" s="25"/>
      <c r="K949" s="25"/>
    </row>
    <row r="950" spans="1:11" ht="10.5">
      <c r="A950" s="34"/>
      <c r="B950" s="16"/>
      <c r="C950" s="25"/>
      <c r="D950" s="18"/>
      <c r="E950" s="25"/>
      <c r="F950" s="25"/>
      <c r="G950" s="25"/>
      <c r="H950" s="18"/>
      <c r="I950" s="25"/>
      <c r="J950" s="25"/>
      <c r="K950" s="25"/>
    </row>
    <row r="951" spans="1:11" ht="10.5">
      <c r="A951" s="34"/>
      <c r="B951" s="16"/>
      <c r="C951" s="25"/>
      <c r="D951" s="18"/>
      <c r="E951" s="25"/>
      <c r="F951" s="25"/>
      <c r="G951" s="25"/>
      <c r="H951" s="18"/>
      <c r="I951" s="25"/>
      <c r="J951" s="25"/>
      <c r="K951" s="25"/>
    </row>
    <row r="952" spans="1:11" ht="10.5">
      <c r="A952" s="34"/>
      <c r="B952" s="16"/>
      <c r="C952" s="25"/>
      <c r="D952" s="18"/>
      <c r="E952" s="25"/>
      <c r="F952" s="25"/>
      <c r="G952" s="25"/>
      <c r="H952" s="18"/>
      <c r="I952" s="25"/>
      <c r="J952" s="25"/>
      <c r="K952" s="25"/>
    </row>
    <row r="953" spans="1:11" ht="10.5">
      <c r="A953" s="34"/>
      <c r="B953" s="16"/>
      <c r="C953" s="25"/>
      <c r="D953" s="18"/>
      <c r="E953" s="25"/>
      <c r="F953" s="25"/>
      <c r="G953" s="25"/>
      <c r="H953" s="18"/>
      <c r="I953" s="25"/>
      <c r="J953" s="25"/>
      <c r="K953" s="25"/>
    </row>
    <row r="954" spans="1:11" ht="10.5">
      <c r="A954" s="34"/>
      <c r="B954" s="16"/>
      <c r="C954" s="25"/>
      <c r="D954" s="18"/>
      <c r="E954" s="25"/>
      <c r="F954" s="25"/>
      <c r="G954" s="25"/>
      <c r="H954" s="18"/>
      <c r="I954" s="25"/>
      <c r="J954" s="25"/>
      <c r="K954" s="25"/>
    </row>
    <row r="955" spans="1:11" ht="10.5">
      <c r="A955" s="34"/>
      <c r="B955" s="16"/>
      <c r="C955" s="25"/>
      <c r="D955" s="18"/>
      <c r="E955" s="25"/>
      <c r="F955" s="25"/>
      <c r="G955" s="25"/>
      <c r="H955" s="18"/>
      <c r="I955" s="25"/>
      <c r="J955" s="25"/>
      <c r="K955" s="25"/>
    </row>
    <row r="956" spans="1:11" ht="10.5">
      <c r="A956" s="34"/>
      <c r="B956" s="16"/>
      <c r="C956" s="25"/>
      <c r="D956" s="18"/>
      <c r="E956" s="25"/>
      <c r="F956" s="25"/>
      <c r="G956" s="25"/>
      <c r="H956" s="18"/>
      <c r="I956" s="25"/>
      <c r="J956" s="25"/>
      <c r="K956" s="25"/>
    </row>
    <row r="957" spans="1:11" ht="10.5">
      <c r="A957" s="34"/>
      <c r="B957" s="16"/>
      <c r="C957" s="25"/>
      <c r="D957" s="18"/>
      <c r="E957" s="25"/>
      <c r="F957" s="25"/>
      <c r="G957" s="25"/>
      <c r="H957" s="18"/>
      <c r="I957" s="25"/>
      <c r="J957" s="25"/>
      <c r="K957" s="25"/>
    </row>
    <row r="958" spans="1:11" ht="10.5">
      <c r="A958" s="34"/>
      <c r="B958" s="16"/>
      <c r="C958" s="25"/>
      <c r="D958" s="18"/>
      <c r="E958" s="25"/>
      <c r="F958" s="25"/>
      <c r="G958" s="25"/>
      <c r="H958" s="18"/>
      <c r="I958" s="25"/>
      <c r="J958" s="25"/>
      <c r="K958" s="25"/>
    </row>
    <row r="959" spans="1:11" ht="10.5">
      <c r="A959" s="34"/>
      <c r="B959" s="16"/>
      <c r="C959" s="25"/>
      <c r="D959" s="18"/>
      <c r="E959" s="25"/>
      <c r="F959" s="25"/>
      <c r="G959" s="25"/>
      <c r="H959" s="18"/>
      <c r="I959" s="25"/>
      <c r="J959" s="25"/>
      <c r="K959" s="25"/>
    </row>
    <row r="960" spans="1:11" ht="10.5">
      <c r="A960" s="34"/>
      <c r="B960" s="16"/>
      <c r="C960" s="25"/>
      <c r="D960" s="18"/>
      <c r="E960" s="25"/>
      <c r="F960" s="25"/>
      <c r="G960" s="25"/>
      <c r="H960" s="18"/>
      <c r="I960" s="25"/>
      <c r="J960" s="25"/>
      <c r="K960" s="25"/>
    </row>
    <row r="961" spans="1:11" ht="10.5">
      <c r="A961" s="34"/>
      <c r="B961" s="16"/>
      <c r="C961" s="25"/>
      <c r="D961" s="18"/>
      <c r="E961" s="25"/>
      <c r="F961" s="25"/>
      <c r="G961" s="25"/>
      <c r="H961" s="18"/>
      <c r="I961" s="25"/>
      <c r="J961" s="25"/>
      <c r="K961" s="25"/>
    </row>
    <row r="962" spans="1:11" ht="10.5">
      <c r="A962" s="34"/>
      <c r="B962" s="16"/>
      <c r="C962" s="25"/>
      <c r="D962" s="18"/>
      <c r="E962" s="25"/>
      <c r="F962" s="25"/>
      <c r="G962" s="25"/>
      <c r="H962" s="18"/>
      <c r="I962" s="25"/>
      <c r="J962" s="25"/>
      <c r="K962" s="25"/>
    </row>
    <row r="963" spans="1:11" ht="10.5">
      <c r="A963" s="34"/>
      <c r="B963" s="16"/>
      <c r="C963" s="25"/>
      <c r="D963" s="18"/>
      <c r="E963" s="25"/>
      <c r="F963" s="25"/>
      <c r="G963" s="25"/>
      <c r="H963" s="18"/>
      <c r="I963" s="25"/>
      <c r="J963" s="25"/>
      <c r="K963" s="25"/>
    </row>
    <row r="964" spans="1:11" ht="10.5">
      <c r="A964" s="34"/>
      <c r="B964" s="16"/>
      <c r="C964" s="25"/>
      <c r="D964" s="18"/>
      <c r="E964" s="25"/>
      <c r="F964" s="25"/>
      <c r="G964" s="25"/>
      <c r="H964" s="18"/>
      <c r="I964" s="25"/>
      <c r="J964" s="25"/>
      <c r="K964" s="25"/>
    </row>
    <row r="965" spans="1:11" ht="10.5">
      <c r="A965" s="34"/>
      <c r="B965" s="16"/>
      <c r="C965" s="25"/>
      <c r="D965" s="18"/>
      <c r="E965" s="25"/>
      <c r="F965" s="25"/>
      <c r="G965" s="25"/>
      <c r="H965" s="18"/>
      <c r="I965" s="25"/>
      <c r="J965" s="25"/>
      <c r="K965" s="25"/>
    </row>
    <row r="966" spans="1:11" ht="10.5">
      <c r="A966" s="34"/>
      <c r="B966" s="16"/>
      <c r="C966" s="25"/>
      <c r="D966" s="18"/>
      <c r="E966" s="25"/>
      <c r="F966" s="25"/>
      <c r="G966" s="25"/>
      <c r="H966" s="18"/>
      <c r="I966" s="25"/>
      <c r="J966" s="25"/>
      <c r="K966" s="25"/>
    </row>
    <row r="967" spans="1:11" ht="10.5">
      <c r="A967" s="34"/>
      <c r="B967" s="16"/>
      <c r="C967" s="25"/>
      <c r="D967" s="18"/>
      <c r="E967" s="25"/>
      <c r="F967" s="25"/>
      <c r="G967" s="25"/>
      <c r="H967" s="18"/>
      <c r="I967" s="25"/>
      <c r="J967" s="25"/>
      <c r="K967" s="25"/>
    </row>
    <row r="968" spans="1:11" ht="10.5">
      <c r="A968" s="34"/>
      <c r="B968" s="16"/>
      <c r="C968" s="25"/>
      <c r="D968" s="18"/>
      <c r="E968" s="25"/>
      <c r="F968" s="25"/>
      <c r="G968" s="25"/>
      <c r="H968" s="18"/>
      <c r="I968" s="25"/>
      <c r="J968" s="25"/>
      <c r="K968" s="25"/>
    </row>
    <row r="969" spans="1:11" ht="10.5">
      <c r="A969" s="34"/>
      <c r="B969" s="16"/>
      <c r="C969" s="25"/>
      <c r="D969" s="18"/>
      <c r="E969" s="25"/>
      <c r="F969" s="25"/>
      <c r="G969" s="25"/>
      <c r="H969" s="18"/>
      <c r="I969" s="25"/>
      <c r="J969" s="25"/>
      <c r="K969" s="25"/>
    </row>
    <row r="970" spans="1:11" ht="10.5">
      <c r="A970" s="34"/>
      <c r="B970" s="16"/>
      <c r="C970" s="25"/>
      <c r="D970" s="18"/>
      <c r="E970" s="25"/>
      <c r="F970" s="25"/>
      <c r="G970" s="25"/>
      <c r="H970" s="18"/>
      <c r="I970" s="25"/>
      <c r="J970" s="25"/>
      <c r="K970" s="25"/>
    </row>
    <row r="971" spans="1:11" ht="10.5">
      <c r="A971" s="34"/>
      <c r="B971" s="16"/>
      <c r="C971" s="25"/>
      <c r="D971" s="18"/>
      <c r="E971" s="25"/>
      <c r="F971" s="25"/>
      <c r="G971" s="25"/>
      <c r="H971" s="18"/>
      <c r="I971" s="25"/>
      <c r="J971" s="25"/>
      <c r="K971" s="25"/>
    </row>
    <row r="972" spans="1:11" ht="10.5">
      <c r="A972" s="34"/>
      <c r="B972" s="16"/>
      <c r="C972" s="25"/>
      <c r="D972" s="18"/>
      <c r="E972" s="25"/>
      <c r="F972" s="25"/>
      <c r="G972" s="25"/>
      <c r="H972" s="18"/>
      <c r="I972" s="25"/>
      <c r="J972" s="25"/>
      <c r="K972" s="25"/>
    </row>
    <row r="973" spans="1:11" ht="10.5">
      <c r="A973" s="34"/>
      <c r="B973" s="16"/>
      <c r="C973" s="25"/>
      <c r="D973" s="18"/>
      <c r="E973" s="25"/>
      <c r="F973" s="25"/>
      <c r="G973" s="25"/>
      <c r="H973" s="18"/>
      <c r="I973" s="25"/>
      <c r="J973" s="25"/>
      <c r="K973" s="25"/>
    </row>
    <row r="974" spans="1:11" ht="10.5">
      <c r="A974" s="34"/>
      <c r="B974" s="16"/>
      <c r="C974" s="25"/>
      <c r="D974" s="18"/>
      <c r="E974" s="25"/>
      <c r="F974" s="25"/>
      <c r="G974" s="25"/>
      <c r="H974" s="18"/>
      <c r="I974" s="25"/>
      <c r="J974" s="25"/>
      <c r="K974" s="25"/>
    </row>
    <row r="975" spans="1:11" ht="10.5">
      <c r="A975" s="34"/>
      <c r="B975" s="16"/>
      <c r="C975" s="25"/>
      <c r="D975" s="18"/>
      <c r="E975" s="25"/>
      <c r="F975" s="25"/>
      <c r="G975" s="25"/>
      <c r="H975" s="18"/>
      <c r="I975" s="25"/>
      <c r="J975" s="25"/>
      <c r="K975" s="25"/>
    </row>
    <row r="976" spans="1:11" ht="10.5">
      <c r="A976" s="34"/>
      <c r="B976" s="16"/>
      <c r="C976" s="25"/>
      <c r="D976" s="18"/>
      <c r="E976" s="25"/>
      <c r="F976" s="25"/>
      <c r="G976" s="25"/>
      <c r="H976" s="18"/>
      <c r="I976" s="25"/>
      <c r="J976" s="25"/>
      <c r="K976" s="25"/>
    </row>
    <row r="977" spans="1:11" ht="10.5">
      <c r="A977" s="34"/>
      <c r="B977" s="16"/>
      <c r="C977" s="25"/>
      <c r="D977" s="18"/>
      <c r="E977" s="25"/>
      <c r="F977" s="25"/>
      <c r="G977" s="25"/>
      <c r="H977" s="18"/>
      <c r="I977" s="25"/>
      <c r="J977" s="25"/>
      <c r="K977" s="25"/>
    </row>
    <row r="978" spans="1:11" ht="10.5">
      <c r="A978" s="34"/>
      <c r="B978" s="16"/>
      <c r="C978" s="25"/>
      <c r="D978" s="18"/>
      <c r="E978" s="25"/>
      <c r="F978" s="25"/>
      <c r="G978" s="25"/>
      <c r="H978" s="18"/>
      <c r="I978" s="25"/>
      <c r="J978" s="25"/>
      <c r="K978" s="25"/>
    </row>
    <row r="979" spans="1:11" ht="10.5">
      <c r="A979" s="34"/>
      <c r="B979" s="16"/>
      <c r="C979" s="25"/>
      <c r="D979" s="18"/>
      <c r="E979" s="25"/>
      <c r="F979" s="25"/>
      <c r="G979" s="25"/>
      <c r="H979" s="18"/>
      <c r="I979" s="25"/>
      <c r="J979" s="25"/>
      <c r="K979" s="25"/>
    </row>
    <row r="980" spans="1:11" ht="10.5">
      <c r="A980" s="34"/>
      <c r="B980" s="16"/>
      <c r="C980" s="25"/>
      <c r="D980" s="18"/>
      <c r="E980" s="25"/>
      <c r="F980" s="25"/>
      <c r="G980" s="25"/>
      <c r="H980" s="18"/>
      <c r="I980" s="25"/>
      <c r="J980" s="25"/>
      <c r="K980" s="25"/>
    </row>
    <row r="981" spans="1:11" ht="10.5">
      <c r="A981" s="34"/>
      <c r="B981" s="16"/>
      <c r="C981" s="25"/>
      <c r="D981" s="18"/>
      <c r="E981" s="25"/>
      <c r="F981" s="25"/>
      <c r="G981" s="25"/>
      <c r="H981" s="18"/>
      <c r="I981" s="25"/>
      <c r="J981" s="25"/>
      <c r="K981" s="25"/>
    </row>
    <row r="982" spans="1:11" ht="10.5">
      <c r="A982" s="34"/>
      <c r="B982" s="16"/>
      <c r="C982" s="25"/>
      <c r="D982" s="18"/>
      <c r="E982" s="25"/>
      <c r="F982" s="25"/>
      <c r="G982" s="25"/>
      <c r="H982" s="18"/>
      <c r="I982" s="25"/>
      <c r="J982" s="25"/>
      <c r="K982" s="25"/>
    </row>
    <row r="983" spans="1:11" ht="10.5">
      <c r="A983" s="34"/>
      <c r="B983" s="16"/>
      <c r="C983" s="25"/>
      <c r="D983" s="18"/>
      <c r="E983" s="25"/>
      <c r="F983" s="25"/>
      <c r="G983" s="25"/>
      <c r="H983" s="18"/>
      <c r="I983" s="25"/>
      <c r="J983" s="25"/>
      <c r="K983" s="25"/>
    </row>
    <row r="984" spans="1:11" ht="10.5">
      <c r="A984" s="34"/>
      <c r="B984" s="16"/>
      <c r="C984" s="25"/>
      <c r="D984" s="18"/>
      <c r="E984" s="25"/>
      <c r="F984" s="25"/>
      <c r="G984" s="25"/>
      <c r="H984" s="18"/>
      <c r="I984" s="25"/>
      <c r="J984" s="25"/>
      <c r="K984" s="25"/>
    </row>
    <row r="985" spans="1:11" ht="10.5">
      <c r="A985" s="34"/>
      <c r="B985" s="16"/>
      <c r="C985" s="25"/>
      <c r="D985" s="18"/>
      <c r="E985" s="25"/>
      <c r="F985" s="25"/>
      <c r="G985" s="25"/>
      <c r="H985" s="18"/>
      <c r="I985" s="25"/>
      <c r="J985" s="25"/>
      <c r="K985" s="25"/>
    </row>
    <row r="986" spans="1:11" ht="10.5">
      <c r="A986" s="34"/>
      <c r="B986" s="16"/>
      <c r="C986" s="25"/>
      <c r="D986" s="18"/>
      <c r="E986" s="25"/>
      <c r="F986" s="25"/>
      <c r="G986" s="25"/>
      <c r="H986" s="18"/>
      <c r="I986" s="25"/>
      <c r="J986" s="25"/>
      <c r="K986" s="25"/>
    </row>
    <row r="987" spans="1:11" ht="10.5">
      <c r="A987" s="34"/>
      <c r="B987" s="16"/>
      <c r="C987" s="25"/>
      <c r="D987" s="18"/>
      <c r="E987" s="25"/>
      <c r="F987" s="25"/>
      <c r="G987" s="25"/>
      <c r="H987" s="18"/>
      <c r="I987" s="25"/>
      <c r="J987" s="25"/>
      <c r="K987" s="25"/>
    </row>
    <row r="988" spans="1:11" ht="10.5">
      <c r="A988" s="34"/>
      <c r="B988" s="16"/>
      <c r="C988" s="25"/>
      <c r="D988" s="18"/>
      <c r="E988" s="25"/>
      <c r="F988" s="25"/>
      <c r="G988" s="25"/>
      <c r="H988" s="18"/>
      <c r="I988" s="25"/>
      <c r="J988" s="25"/>
      <c r="K988" s="25"/>
    </row>
    <row r="989" spans="1:11" ht="10.5">
      <c r="A989" s="34"/>
      <c r="B989" s="16"/>
      <c r="C989" s="25"/>
      <c r="D989" s="18"/>
      <c r="E989" s="25"/>
      <c r="F989" s="25"/>
      <c r="G989" s="25"/>
      <c r="H989" s="18"/>
      <c r="I989" s="25"/>
      <c r="J989" s="25"/>
      <c r="K989" s="25"/>
    </row>
    <row r="990" spans="1:11" ht="10.5">
      <c r="A990" s="34"/>
      <c r="B990" s="16"/>
      <c r="C990" s="25"/>
      <c r="D990" s="18"/>
      <c r="E990" s="25"/>
      <c r="F990" s="25"/>
      <c r="G990" s="25"/>
      <c r="H990" s="18"/>
      <c r="I990" s="25"/>
      <c r="J990" s="25"/>
      <c r="K990" s="25"/>
    </row>
    <row r="991" spans="1:11" ht="10.5">
      <c r="A991" s="34"/>
      <c r="B991" s="16"/>
      <c r="C991" s="25"/>
      <c r="D991" s="18"/>
      <c r="E991" s="25"/>
      <c r="F991" s="25"/>
      <c r="G991" s="25"/>
      <c r="H991" s="18"/>
      <c r="I991" s="25"/>
      <c r="J991" s="25"/>
      <c r="K991" s="25"/>
    </row>
    <row r="992" spans="1:11" ht="10.5">
      <c r="A992" s="34"/>
      <c r="B992" s="16"/>
      <c r="C992" s="25"/>
      <c r="D992" s="18"/>
      <c r="E992" s="25"/>
      <c r="F992" s="25"/>
      <c r="G992" s="25"/>
      <c r="H992" s="18"/>
      <c r="I992" s="25"/>
      <c r="J992" s="25"/>
      <c r="K992" s="25"/>
    </row>
    <row r="993" spans="1:11" ht="10.5">
      <c r="A993" s="34"/>
      <c r="B993" s="16"/>
      <c r="C993" s="25"/>
      <c r="D993" s="18"/>
      <c r="E993" s="25"/>
      <c r="F993" s="25"/>
      <c r="G993" s="25"/>
      <c r="H993" s="18"/>
      <c r="I993" s="25"/>
      <c r="J993" s="25"/>
      <c r="K993" s="25"/>
    </row>
    <row r="994" spans="1:11" ht="10.5">
      <c r="A994" s="34"/>
      <c r="B994" s="16"/>
      <c r="C994" s="25"/>
      <c r="D994" s="18"/>
      <c r="E994" s="25"/>
      <c r="F994" s="25"/>
      <c r="G994" s="25"/>
      <c r="H994" s="18"/>
      <c r="I994" s="25"/>
      <c r="J994" s="25"/>
      <c r="K994" s="25"/>
    </row>
    <row r="995" spans="1:11" ht="10.5">
      <c r="A995" s="34"/>
      <c r="B995" s="16"/>
      <c r="C995" s="25"/>
      <c r="D995" s="18"/>
      <c r="E995" s="25"/>
      <c r="F995" s="25"/>
      <c r="G995" s="25"/>
      <c r="H995" s="18"/>
      <c r="I995" s="25"/>
      <c r="J995" s="25"/>
      <c r="K995" s="25"/>
    </row>
    <row r="996" spans="1:11" ht="10.5">
      <c r="A996" s="34"/>
      <c r="B996" s="16"/>
      <c r="C996" s="25"/>
      <c r="D996" s="18"/>
      <c r="E996" s="25"/>
      <c r="F996" s="25"/>
      <c r="G996" s="25"/>
      <c r="H996" s="18"/>
      <c r="I996" s="25"/>
      <c r="J996" s="25"/>
      <c r="K996" s="25"/>
    </row>
    <row r="997" spans="1:11" ht="10.5">
      <c r="A997" s="34"/>
      <c r="B997" s="16"/>
      <c r="C997" s="25"/>
      <c r="D997" s="18"/>
      <c r="E997" s="25"/>
      <c r="F997" s="25"/>
      <c r="G997" s="25"/>
      <c r="H997" s="18"/>
      <c r="I997" s="25"/>
      <c r="J997" s="25"/>
      <c r="K997" s="25"/>
    </row>
    <row r="998" spans="1:11" ht="10.5">
      <c r="A998" s="34"/>
      <c r="B998" s="16"/>
      <c r="C998" s="25"/>
      <c r="D998" s="18"/>
      <c r="E998" s="25"/>
      <c r="F998" s="25"/>
      <c r="G998" s="25"/>
      <c r="H998" s="18"/>
      <c r="I998" s="25"/>
      <c r="J998" s="25"/>
      <c r="K998" s="25"/>
    </row>
    <row r="999" spans="1:11" ht="10.5">
      <c r="A999" s="34"/>
      <c r="B999" s="16"/>
      <c r="C999" s="25"/>
      <c r="D999" s="18"/>
      <c r="E999" s="25"/>
      <c r="F999" s="25"/>
      <c r="G999" s="25"/>
      <c r="H999" s="18"/>
      <c r="I999" s="25"/>
      <c r="J999" s="25"/>
      <c r="K999" s="25"/>
    </row>
    <row r="1000" spans="1:11" ht="10.5">
      <c r="A1000" s="34"/>
      <c r="B1000" s="16"/>
      <c r="C1000" s="25"/>
      <c r="D1000" s="18"/>
      <c r="E1000" s="25"/>
      <c r="F1000" s="25"/>
      <c r="G1000" s="25"/>
      <c r="H1000" s="18"/>
      <c r="I1000" s="25"/>
      <c r="J1000" s="25"/>
      <c r="K1000" s="25"/>
    </row>
    <row r="1001" spans="1:11" ht="10.5">
      <c r="A1001" s="34"/>
      <c r="B1001" s="16"/>
      <c r="C1001" s="25"/>
      <c r="D1001" s="18"/>
      <c r="E1001" s="25"/>
      <c r="F1001" s="25"/>
      <c r="G1001" s="25"/>
      <c r="H1001" s="18"/>
      <c r="I1001" s="25"/>
      <c r="J1001" s="25"/>
      <c r="K1001" s="25"/>
    </row>
    <row r="1002" spans="1:11" ht="10.5">
      <c r="A1002" s="34"/>
      <c r="B1002" s="16"/>
      <c r="C1002" s="25"/>
      <c r="D1002" s="18"/>
      <c r="E1002" s="25"/>
      <c r="F1002" s="25"/>
      <c r="G1002" s="25"/>
      <c r="H1002" s="18"/>
      <c r="I1002" s="25"/>
      <c r="J1002" s="25"/>
      <c r="K1002" s="25"/>
    </row>
    <row r="1003" spans="1:11" ht="10.5">
      <c r="A1003" s="34"/>
      <c r="B1003" s="16"/>
      <c r="C1003" s="25"/>
      <c r="D1003" s="18"/>
      <c r="E1003" s="25"/>
      <c r="F1003" s="25"/>
      <c r="G1003" s="25"/>
      <c r="H1003" s="18"/>
      <c r="I1003" s="25"/>
      <c r="J1003" s="25"/>
      <c r="K1003" s="25"/>
    </row>
    <row r="1004" spans="1:11" ht="10.5">
      <c r="A1004" s="34"/>
      <c r="B1004" s="16"/>
      <c r="C1004" s="25"/>
      <c r="D1004" s="18"/>
      <c r="E1004" s="25"/>
      <c r="F1004" s="25"/>
      <c r="G1004" s="25"/>
      <c r="H1004" s="18"/>
      <c r="I1004" s="25"/>
      <c r="J1004" s="25"/>
      <c r="K1004" s="25"/>
    </row>
    <row r="1005" spans="1:11" ht="10.5">
      <c r="A1005" s="34"/>
      <c r="B1005" s="16"/>
      <c r="C1005" s="25"/>
      <c r="D1005" s="18"/>
      <c r="E1005" s="25"/>
      <c r="F1005" s="25"/>
      <c r="G1005" s="25"/>
      <c r="H1005" s="18"/>
      <c r="I1005" s="25"/>
      <c r="J1005" s="25"/>
      <c r="K1005" s="25"/>
    </row>
    <row r="1006" spans="1:11" ht="10.5">
      <c r="A1006" s="34"/>
      <c r="B1006" s="16"/>
      <c r="C1006" s="25"/>
      <c r="D1006" s="18"/>
      <c r="E1006" s="25"/>
      <c r="F1006" s="25"/>
      <c r="G1006" s="25"/>
      <c r="H1006" s="18"/>
      <c r="I1006" s="25"/>
      <c r="J1006" s="25"/>
      <c r="K1006" s="25"/>
    </row>
    <row r="1007" spans="1:11" ht="10.5">
      <c r="A1007" s="34"/>
      <c r="B1007" s="16"/>
      <c r="C1007" s="25"/>
      <c r="D1007" s="18"/>
      <c r="E1007" s="25"/>
      <c r="F1007" s="25"/>
      <c r="G1007" s="25"/>
      <c r="H1007" s="18"/>
      <c r="I1007" s="25"/>
      <c r="J1007" s="25"/>
      <c r="K1007" s="25"/>
    </row>
    <row r="1008" spans="1:11" ht="10.5">
      <c r="A1008" s="34"/>
      <c r="B1008" s="16"/>
      <c r="C1008" s="25"/>
      <c r="D1008" s="18"/>
      <c r="E1008" s="25"/>
      <c r="F1008" s="25"/>
      <c r="G1008" s="25"/>
      <c r="H1008" s="18"/>
      <c r="I1008" s="25"/>
      <c r="J1008" s="25"/>
      <c r="K1008" s="25"/>
    </row>
    <row r="1009" spans="1:11" ht="10.5">
      <c r="A1009" s="34"/>
      <c r="B1009" s="16"/>
      <c r="C1009" s="25"/>
      <c r="D1009" s="18"/>
      <c r="E1009" s="25"/>
      <c r="F1009" s="25"/>
      <c r="G1009" s="25"/>
      <c r="H1009" s="18"/>
      <c r="I1009" s="25"/>
      <c r="J1009" s="25"/>
      <c r="K1009" s="25"/>
    </row>
    <row r="1010" spans="3:11" ht="10.5">
      <c r="C1010" s="35"/>
      <c r="D1010" s="17"/>
      <c r="G1010" s="25"/>
      <c r="H1010" s="18"/>
      <c r="K1010" s="25"/>
    </row>
    <row r="1011" spans="3:11" ht="10.5">
      <c r="C1011" s="35"/>
      <c r="D1011" s="17"/>
      <c r="G1011" s="25"/>
      <c r="H1011" s="18"/>
      <c r="K1011" s="25"/>
    </row>
    <row r="1012" spans="3:11" ht="10.5">
      <c r="C1012" s="35"/>
      <c r="D1012" s="17"/>
      <c r="G1012" s="25"/>
      <c r="H1012" s="18"/>
      <c r="K1012" s="25"/>
    </row>
    <row r="1013" spans="3:11" ht="10.5">
      <c r="C1013" s="35"/>
      <c r="D1013" s="17"/>
      <c r="G1013" s="25"/>
      <c r="H1013" s="18"/>
      <c r="K1013" s="25"/>
    </row>
    <row r="1014" spans="3:11" ht="10.5">
      <c r="C1014" s="35"/>
      <c r="D1014" s="17"/>
      <c r="G1014" s="25"/>
      <c r="H1014" s="18"/>
      <c r="K1014" s="25"/>
    </row>
    <row r="1015" spans="3:11" ht="10.5">
      <c r="C1015" s="35"/>
      <c r="D1015" s="17"/>
      <c r="G1015" s="25"/>
      <c r="H1015" s="18"/>
      <c r="K1015" s="25"/>
    </row>
    <row r="1016" spans="3:11" ht="10.5">
      <c r="C1016" s="35"/>
      <c r="D1016" s="17"/>
      <c r="G1016" s="25"/>
      <c r="H1016" s="18"/>
      <c r="K1016" s="25"/>
    </row>
    <row r="1017" spans="3:11" ht="10.5">
      <c r="C1017" s="35"/>
      <c r="D1017" s="17"/>
      <c r="G1017" s="25"/>
      <c r="H1017" s="18"/>
      <c r="K1017" s="25"/>
    </row>
  </sheetData>
  <mergeCells count="3">
    <mergeCell ref="E4:G4"/>
    <mergeCell ref="I4:K4"/>
    <mergeCell ref="A4:C4"/>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J120"/>
  <sheetViews>
    <sheetView workbookViewId="0" topLeftCell="A1">
      <selection activeCell="A1" sqref="A1"/>
    </sheetView>
  </sheetViews>
  <sheetFormatPr defaultColWidth="9.140625" defaultRowHeight="12.75"/>
  <cols>
    <col min="1" max="1" width="6.00390625" style="5" bestFit="1" customWidth="1"/>
    <col min="2" max="2" width="1.7109375" style="5" customWidth="1"/>
    <col min="3" max="5" width="7.140625" style="5" customWidth="1"/>
    <col min="6" max="6" width="1.7109375" style="5" customWidth="1"/>
    <col min="7" max="7" width="9.00390625" style="11" bestFit="1" customWidth="1"/>
    <col min="8" max="8" width="10.140625" style="11" bestFit="1" customWidth="1"/>
    <col min="9" max="9" width="9.00390625" style="12" customWidth="1"/>
    <col min="10" max="16384" width="9.140625" style="1" customWidth="1"/>
  </cols>
  <sheetData>
    <row r="1" spans="1:7" s="22" customFormat="1" ht="15">
      <c r="A1" s="22" t="s">
        <v>169</v>
      </c>
      <c r="G1" s="129"/>
    </row>
    <row r="2" ht="10.5"/>
    <row r="3" spans="1:10" s="2" customFormat="1" ht="10.5">
      <c r="A3" s="30" t="s">
        <v>40</v>
      </c>
      <c r="B3" s="31"/>
      <c r="C3" s="154" t="s">
        <v>155</v>
      </c>
      <c r="D3" s="154"/>
      <c r="E3" s="154"/>
      <c r="F3" s="32"/>
      <c r="G3" s="30" t="s">
        <v>60</v>
      </c>
      <c r="H3" s="36" t="s">
        <v>5</v>
      </c>
      <c r="I3" s="28" t="s">
        <v>61</v>
      </c>
      <c r="J3" s="30" t="s">
        <v>12</v>
      </c>
    </row>
    <row r="4" ht="10.5"/>
    <row r="5" spans="1:10" ht="10.5" customHeight="1">
      <c r="A5" s="5">
        <v>110</v>
      </c>
      <c r="C5" s="5">
        <v>15</v>
      </c>
      <c r="D5" s="5">
        <v>4</v>
      </c>
      <c r="E5" s="5">
        <f>C5*Dimensions!$C$101+D5*Dimensions!$C$102</f>
        <v>4.6736</v>
      </c>
      <c r="G5" s="11">
        <f aca="true" t="shared" si="0" ref="G5:G68">G6+E6</f>
        <v>410.7180000000002</v>
      </c>
      <c r="H5" s="11">
        <f>SQRT(2*Dimensions!$D$6*G5)</f>
        <v>89.75263421983782</v>
      </c>
      <c r="I5" s="12">
        <f>0.5*'Tower Mass'!AC8*H5*H5</f>
        <v>17318254305.827934</v>
      </c>
      <c r="J5" s="4">
        <f>I5</f>
        <v>17318254305.827934</v>
      </c>
    </row>
    <row r="6" spans="1:10" ht="10.5" customHeight="1">
      <c r="A6" s="5">
        <f>A5-1</f>
        <v>109</v>
      </c>
      <c r="C6" s="5">
        <v>11</v>
      </c>
      <c r="D6" s="5">
        <v>8</v>
      </c>
      <c r="E6" s="5">
        <f>C6*Dimensions!$C$101+D6*Dimensions!$C$102</f>
        <v>3.556</v>
      </c>
      <c r="G6" s="11">
        <f t="shared" si="0"/>
        <v>407.1620000000002</v>
      </c>
      <c r="H6" s="11">
        <f>SQRT(2*Dimensions!$D$6*G6)</f>
        <v>89.3632500225904</v>
      </c>
      <c r="I6" s="12">
        <f>0.5*'Tower Mass'!AC9*H6*H6</f>
        <v>18624315663.443527</v>
      </c>
      <c r="J6" s="4">
        <f aca="true" t="shared" si="1" ref="J6:J37">J5+I6</f>
        <v>35942569969.27146</v>
      </c>
    </row>
    <row r="7" spans="1:10" ht="10.5" customHeight="1">
      <c r="A7" s="5">
        <f aca="true" t="shared" si="2" ref="A7:A70">A6-1</f>
        <v>108</v>
      </c>
      <c r="C7" s="5">
        <v>14</v>
      </c>
      <c r="D7" s="5">
        <v>0</v>
      </c>
      <c r="E7" s="5">
        <f>C7*Dimensions!$C$101+D7*Dimensions!$C$102</f>
        <v>4.2672</v>
      </c>
      <c r="G7" s="11">
        <f t="shared" si="0"/>
        <v>402.8948000000002</v>
      </c>
      <c r="H7" s="11">
        <f>SQRT(2*Dimensions!$D$6*G7)</f>
        <v>88.89373757942684</v>
      </c>
      <c r="I7" s="12">
        <f>0.5*'Tower Mass'!AC10*H7*H7</f>
        <v>18476281976.52248</v>
      </c>
      <c r="J7" s="4">
        <f t="shared" si="1"/>
        <v>54418851945.793945</v>
      </c>
    </row>
    <row r="8" spans="1:10" ht="10.5" customHeight="1">
      <c r="A8" s="5">
        <f t="shared" si="2"/>
        <v>107</v>
      </c>
      <c r="C8" s="5">
        <v>17</v>
      </c>
      <c r="D8" s="5">
        <v>6</v>
      </c>
      <c r="E8" s="5">
        <f>C8*Dimensions!$C$101+D8*Dimensions!$C$102</f>
        <v>5.3340000000000005</v>
      </c>
      <c r="G8" s="11">
        <f t="shared" si="0"/>
        <v>397.5608000000002</v>
      </c>
      <c r="H8" s="11">
        <f>SQRT(2*Dimensions!$D$6*G8)</f>
        <v>88.30333650910369</v>
      </c>
      <c r="I8" s="12">
        <f>0.5*'Tower Mass'!AC11*H8*H8</f>
        <v>18278202351.019592</v>
      </c>
      <c r="J8" s="4">
        <f t="shared" si="1"/>
        <v>72697054296.81354</v>
      </c>
    </row>
    <row r="9" spans="1:10" ht="10.5" customHeight="1">
      <c r="A9" s="5">
        <f t="shared" si="2"/>
        <v>106</v>
      </c>
      <c r="C9" s="5">
        <v>14</v>
      </c>
      <c r="D9" s="5">
        <v>4</v>
      </c>
      <c r="E9" s="5">
        <f>C9*Dimensions!$C$101+D9*Dimensions!$C$102</f>
        <v>4.3688</v>
      </c>
      <c r="G9" s="11">
        <f t="shared" si="0"/>
        <v>393.1920000000002</v>
      </c>
      <c r="H9" s="11">
        <f>SQRT(2*Dimensions!$D$6*G9)</f>
        <v>87.81681304624988</v>
      </c>
      <c r="I9" s="12">
        <f>0.5*'Tower Mass'!AC12*H9*H9</f>
        <v>8931288005.628475</v>
      </c>
      <c r="J9" s="4">
        <f t="shared" si="1"/>
        <v>81628342302.44202</v>
      </c>
    </row>
    <row r="10" spans="1:10" ht="10.5" customHeight="1">
      <c r="A10" s="5">
        <f t="shared" si="2"/>
        <v>105</v>
      </c>
      <c r="C10" s="5">
        <v>12</v>
      </c>
      <c r="D10" s="5">
        <v>0</v>
      </c>
      <c r="E10" s="5">
        <f>C10*Dimensions!$C$101+D10*Dimensions!$C$102</f>
        <v>3.6576000000000004</v>
      </c>
      <c r="G10" s="11">
        <f t="shared" si="0"/>
        <v>389.5344000000002</v>
      </c>
      <c r="H10" s="11">
        <f>SQRT(2*Dimensions!$D$6*G10)</f>
        <v>87.40740842468676</v>
      </c>
      <c r="I10" s="12">
        <f>0.5*'Tower Mass'!AC13*H10*H10</f>
        <v>8893798373.89983</v>
      </c>
      <c r="J10" s="4">
        <f t="shared" si="1"/>
        <v>90522140676.34184</v>
      </c>
    </row>
    <row r="11" spans="1:10" ht="10.5" customHeight="1">
      <c r="A11" s="5">
        <f t="shared" si="2"/>
        <v>104</v>
      </c>
      <c r="C11" s="5">
        <v>12</v>
      </c>
      <c r="D11" s="5">
        <v>0</v>
      </c>
      <c r="E11" s="5">
        <f>C11*Dimensions!$C$101+D11*Dimensions!$C$102</f>
        <v>3.6576000000000004</v>
      </c>
      <c r="G11" s="11">
        <f t="shared" si="0"/>
        <v>385.8768000000002</v>
      </c>
      <c r="H11" s="11">
        <f>SQRT(2*Dimensions!$D$6*G11)</f>
        <v>86.99607716121459</v>
      </c>
      <c r="I11" s="12">
        <f>0.5*'Tower Mass'!AC14*H11*H11</f>
        <v>8855452355.349037</v>
      </c>
      <c r="J11" s="4">
        <f t="shared" si="1"/>
        <v>99377593031.69089</v>
      </c>
    </row>
    <row r="12" spans="1:10" ht="10.5" customHeight="1">
      <c r="A12" s="5">
        <f t="shared" si="2"/>
        <v>103</v>
      </c>
      <c r="C12" s="5">
        <v>12</v>
      </c>
      <c r="D12" s="5">
        <v>0</v>
      </c>
      <c r="E12" s="5">
        <f>C12*Dimensions!$C$101+D12*Dimensions!$C$102</f>
        <v>3.6576000000000004</v>
      </c>
      <c r="G12" s="11">
        <f t="shared" si="0"/>
        <v>382.21920000000017</v>
      </c>
      <c r="H12" s="11">
        <f>SQRT(2*Dimensions!$D$6*G12)</f>
        <v>86.58279179698471</v>
      </c>
      <c r="I12" s="12">
        <f>0.5*'Tower Mass'!AC15*H12*H12</f>
        <v>8816250150.535957</v>
      </c>
      <c r="J12" s="4">
        <f t="shared" si="1"/>
        <v>108193843182.22684</v>
      </c>
    </row>
    <row r="13" spans="1:10" ht="10.5" customHeight="1">
      <c r="A13" s="5">
        <f t="shared" si="2"/>
        <v>102</v>
      </c>
      <c r="C13" s="5">
        <v>12</v>
      </c>
      <c r="D13" s="5">
        <v>0</v>
      </c>
      <c r="E13" s="5">
        <f>C13*Dimensions!$C$101+D13*Dimensions!$C$102</f>
        <v>3.6576000000000004</v>
      </c>
      <c r="G13" s="11">
        <f t="shared" si="0"/>
        <v>378.56160000000017</v>
      </c>
      <c r="H13" s="11">
        <f>SQRT(2*Dimensions!$D$6*G13)</f>
        <v>86.16752421463671</v>
      </c>
      <c r="I13" s="12">
        <f>0.5*'Tower Mass'!AC16*H13*H13</f>
        <v>8776191759.460596</v>
      </c>
      <c r="J13" s="4">
        <f t="shared" si="1"/>
        <v>116970034941.68744</v>
      </c>
    </row>
    <row r="14" spans="1:10" ht="10.5" customHeight="1">
      <c r="A14" s="5">
        <f t="shared" si="2"/>
        <v>101</v>
      </c>
      <c r="C14" s="5">
        <v>12</v>
      </c>
      <c r="D14" s="5">
        <v>0</v>
      </c>
      <c r="E14" s="5">
        <f>C14*Dimensions!$C$101+D14*Dimensions!$C$102</f>
        <v>3.6576000000000004</v>
      </c>
      <c r="G14" s="11">
        <f t="shared" si="0"/>
        <v>374.90400000000017</v>
      </c>
      <c r="H14" s="11">
        <f>SQRT(2*Dimensions!$D$6*G14)</f>
        <v>85.75024561597478</v>
      </c>
      <c r="I14" s="12">
        <f>0.5*'Tower Mass'!AC17*H14*H14</f>
        <v>8735277182.122942</v>
      </c>
      <c r="J14" s="4">
        <f t="shared" si="1"/>
        <v>125705312123.81038</v>
      </c>
    </row>
    <row r="15" spans="1:10" ht="10.5" customHeight="1">
      <c r="A15" s="5">
        <f t="shared" si="2"/>
        <v>100</v>
      </c>
      <c r="C15" s="5">
        <v>12</v>
      </c>
      <c r="D15" s="5">
        <v>0</v>
      </c>
      <c r="E15" s="5">
        <f>C15*Dimensions!$C$101+D15*Dimensions!$C$102</f>
        <v>3.6576000000000004</v>
      </c>
      <c r="G15" s="11">
        <f t="shared" si="0"/>
        <v>371.24640000000016</v>
      </c>
      <c r="H15" s="11">
        <f>SQRT(2*Dimensions!$D$6*G15)</f>
        <v>85.33092649866168</v>
      </c>
      <c r="I15" s="12">
        <f>0.5*'Tower Mass'!AC18*H15*H15</f>
        <v>8693506418.523006</v>
      </c>
      <c r="J15" s="4">
        <f t="shared" si="1"/>
        <v>134398818542.33339</v>
      </c>
    </row>
    <row r="16" spans="1:10" ht="10.5" customHeight="1">
      <c r="A16" s="5">
        <f t="shared" si="2"/>
        <v>99</v>
      </c>
      <c r="C16" s="5">
        <v>12</v>
      </c>
      <c r="D16" s="5">
        <v>0</v>
      </c>
      <c r="E16" s="5">
        <f>C16*Dimensions!$C$101+D16*Dimensions!$C$102</f>
        <v>3.6576000000000004</v>
      </c>
      <c r="G16" s="11">
        <f t="shared" si="0"/>
        <v>367.58880000000016</v>
      </c>
      <c r="H16" s="11">
        <f>SQRT(2*Dimensions!$D$6*G16)</f>
        <v>84.90953663187665</v>
      </c>
      <c r="I16" s="12">
        <f>0.5*'Tower Mass'!AC19*H16*H16</f>
        <v>8650879468.660784</v>
      </c>
      <c r="J16" s="4">
        <f t="shared" si="1"/>
        <v>143049698010.99417</v>
      </c>
    </row>
    <row r="17" spans="1:10" ht="10.5" customHeight="1">
      <c r="A17" s="5">
        <f t="shared" si="2"/>
        <v>98</v>
      </c>
      <c r="C17" s="5">
        <v>12</v>
      </c>
      <c r="D17" s="5">
        <v>0</v>
      </c>
      <c r="E17" s="5">
        <f>C17*Dimensions!$C$101+D17*Dimensions!$C$102</f>
        <v>3.6576000000000004</v>
      </c>
      <c r="G17" s="11">
        <f t="shared" si="0"/>
        <v>363.93120000000016</v>
      </c>
      <c r="H17" s="11">
        <f>SQRT(2*Dimensions!$D$6*G17)</f>
        <v>84.4860450308807</v>
      </c>
      <c r="I17" s="12">
        <f>0.5*'Tower Mass'!AC20*H17*H17</f>
        <v>8607396332.536272</v>
      </c>
      <c r="J17" s="4">
        <f t="shared" si="1"/>
        <v>151657094343.53046</v>
      </c>
    </row>
    <row r="18" spans="1:10" ht="10.5" customHeight="1">
      <c r="A18" s="5">
        <f t="shared" si="2"/>
        <v>97</v>
      </c>
      <c r="C18" s="5">
        <v>12</v>
      </c>
      <c r="D18" s="5">
        <v>0</v>
      </c>
      <c r="E18" s="5">
        <f>C18*Dimensions!$C$101+D18*Dimensions!$C$102</f>
        <v>3.6576000000000004</v>
      </c>
      <c r="G18" s="11">
        <f t="shared" si="0"/>
        <v>360.27360000000016</v>
      </c>
      <c r="H18" s="11">
        <f>SQRT(2*Dimensions!$D$6*G18)</f>
        <v>84.06041993042862</v>
      </c>
      <c r="I18" s="12">
        <f>0.5*'Tower Mass'!AC21*H18*H18</f>
        <v>8563057010.149476</v>
      </c>
      <c r="J18" s="4">
        <f t="shared" si="1"/>
        <v>160220151353.67993</v>
      </c>
    </row>
    <row r="19" spans="1:10" ht="10.5" customHeight="1">
      <c r="A19" s="5">
        <f t="shared" si="2"/>
        <v>96</v>
      </c>
      <c r="C19" s="5">
        <v>12</v>
      </c>
      <c r="D19" s="5">
        <v>0</v>
      </c>
      <c r="E19" s="5">
        <f>C19*Dimensions!$C$101+D19*Dimensions!$C$102</f>
        <v>3.6576000000000004</v>
      </c>
      <c r="G19" s="11">
        <f t="shared" si="0"/>
        <v>356.61600000000016</v>
      </c>
      <c r="H19" s="11">
        <f>SQRT(2*Dimensions!$D$6*G19)</f>
        <v>83.63262875696304</v>
      </c>
      <c r="I19" s="12">
        <f>0.5*'Tower Mass'!AC22*H19*H19</f>
        <v>8517861501.500396</v>
      </c>
      <c r="J19" s="4">
        <f t="shared" si="1"/>
        <v>168738012855.18033</v>
      </c>
    </row>
    <row r="20" spans="1:10" ht="10.5" customHeight="1">
      <c r="A20" s="5">
        <f t="shared" si="2"/>
        <v>95</v>
      </c>
      <c r="C20" s="5">
        <v>12</v>
      </c>
      <c r="D20" s="5">
        <v>0</v>
      </c>
      <c r="E20" s="5">
        <f>C20*Dimensions!$C$101+D20*Dimensions!$C$102</f>
        <v>3.6576000000000004</v>
      </c>
      <c r="G20" s="11">
        <f t="shared" si="0"/>
        <v>352.95840000000015</v>
      </c>
      <c r="H20" s="11">
        <f>SQRT(2*Dimensions!$D$6*G20)</f>
        <v>83.20263809952183</v>
      </c>
      <c r="I20" s="12">
        <f>0.5*'Tower Mass'!AC23*H20*H20</f>
        <v>8471809806.58903</v>
      </c>
      <c r="J20" s="4">
        <f t="shared" si="1"/>
        <v>177209822661.76935</v>
      </c>
    </row>
    <row r="21" spans="1:10" ht="10.5" customHeight="1">
      <c r="A21" s="5">
        <f t="shared" si="2"/>
        <v>94</v>
      </c>
      <c r="C21" s="5">
        <v>12</v>
      </c>
      <c r="D21" s="5">
        <v>0</v>
      </c>
      <c r="E21" s="5">
        <f>C21*Dimensions!$C$101+D21*Dimensions!$C$102</f>
        <v>3.6576000000000004</v>
      </c>
      <c r="G21" s="11">
        <f t="shared" si="0"/>
        <v>349.30080000000015</v>
      </c>
      <c r="H21" s="11">
        <f>SQRT(2*Dimensions!$D$6*G21)</f>
        <v>82.7704136792852</v>
      </c>
      <c r="I21" s="12">
        <f>0.5*'Tower Mass'!AC24*H21*H21</f>
        <v>8424901925.415376</v>
      </c>
      <c r="J21" s="4">
        <f t="shared" si="1"/>
        <v>185634724587.18472</v>
      </c>
    </row>
    <row r="22" spans="1:10" ht="10.5" customHeight="1">
      <c r="A22" s="5">
        <f t="shared" si="2"/>
        <v>93</v>
      </c>
      <c r="C22" s="5">
        <v>12</v>
      </c>
      <c r="D22" s="5">
        <v>0</v>
      </c>
      <c r="E22" s="5">
        <f>C22*Dimensions!$C$101+D22*Dimensions!$C$102</f>
        <v>3.6576000000000004</v>
      </c>
      <c r="G22" s="11">
        <f t="shared" si="0"/>
        <v>345.64320000000015</v>
      </c>
      <c r="H22" s="11">
        <f>SQRT(2*Dimensions!$D$6*G22)</f>
        <v>82.33592031768396</v>
      </c>
      <c r="I22" s="12">
        <f>0.5*'Tower Mass'!AC25*H22*H22</f>
        <v>8377137857.979436</v>
      </c>
      <c r="J22" s="4">
        <f t="shared" si="1"/>
        <v>194011862445.16415</v>
      </c>
    </row>
    <row r="23" spans="1:10" ht="10.5" customHeight="1">
      <c r="A23" s="5">
        <f t="shared" si="2"/>
        <v>92</v>
      </c>
      <c r="C23" s="5">
        <v>12</v>
      </c>
      <c r="D23" s="5">
        <v>0</v>
      </c>
      <c r="E23" s="5">
        <f>C23*Dimensions!$C$101+D23*Dimensions!$C$102</f>
        <v>3.6576000000000004</v>
      </c>
      <c r="G23" s="11">
        <f t="shared" si="0"/>
        <v>341.98560000000015</v>
      </c>
      <c r="H23" s="11">
        <f>SQRT(2*Dimensions!$D$6*G23)</f>
        <v>81.89912190298503</v>
      </c>
      <c r="I23" s="12">
        <f>0.5*'Tower Mass'!AC26*H23*H23</f>
        <v>8328517429.840773</v>
      </c>
      <c r="J23" s="4">
        <f t="shared" si="1"/>
        <v>202340379875.0049</v>
      </c>
    </row>
    <row r="24" spans="1:10" ht="10.5" customHeight="1">
      <c r="A24" s="5">
        <f t="shared" si="2"/>
        <v>91</v>
      </c>
      <c r="C24" s="5">
        <v>12</v>
      </c>
      <c r="D24" s="5">
        <v>0</v>
      </c>
      <c r="E24" s="5">
        <f>C24*Dimensions!$C$101+D24*Dimensions!$C$102</f>
        <v>3.6576000000000004</v>
      </c>
      <c r="G24" s="11">
        <f t="shared" si="0"/>
        <v>338.32800000000015</v>
      </c>
      <c r="H24" s="11">
        <f>SQRT(2*Dimensions!$D$6*G24)</f>
        <v>81.45998135526428</v>
      </c>
      <c r="I24" s="12">
        <f>0.5*'Tower Mass'!AC27*H24*H24</f>
        <v>8279041164.3207</v>
      </c>
      <c r="J24" s="4">
        <f t="shared" si="1"/>
        <v>210619421039.32562</v>
      </c>
    </row>
    <row r="25" spans="1:10" ht="10.5" customHeight="1">
      <c r="A25" s="5">
        <f t="shared" si="2"/>
        <v>90</v>
      </c>
      <c r="C25" s="5">
        <v>12</v>
      </c>
      <c r="D25" s="5">
        <v>0</v>
      </c>
      <c r="E25" s="5">
        <f>C25*Dimensions!$C$101+D25*Dimensions!$C$102</f>
        <v>3.6576000000000004</v>
      </c>
      <c r="G25" s="11">
        <f t="shared" si="0"/>
        <v>334.67040000000014</v>
      </c>
      <c r="H25" s="11">
        <f>SQRT(2*Dimensions!$D$6*G25)</f>
        <v>81.01846058967057</v>
      </c>
      <c r="I25" s="12">
        <f>0.5*'Tower Mass'!AC28*H25*H25</f>
        <v>8228708538.0979</v>
      </c>
      <c r="J25" s="4">
        <f t="shared" si="1"/>
        <v>218848129577.42352</v>
      </c>
    </row>
    <row r="26" spans="1:10" ht="10.5" customHeight="1">
      <c r="A26" s="5">
        <f t="shared" si="2"/>
        <v>89</v>
      </c>
      <c r="C26" s="5">
        <v>12</v>
      </c>
      <c r="D26" s="5">
        <v>0</v>
      </c>
      <c r="E26" s="5">
        <f>C26*Dimensions!$C$101+D26*Dimensions!$C$102</f>
        <v>3.6576000000000004</v>
      </c>
      <c r="G26" s="11">
        <f t="shared" si="0"/>
        <v>331.01280000000014</v>
      </c>
      <c r="H26" s="11">
        <f>SQRT(2*Dimensions!$D$6*G26)</f>
        <v>80.57452047787812</v>
      </c>
      <c r="I26" s="12">
        <f>0.5*'Tower Mass'!AC29*H26*H26</f>
        <v>8177519725.612814</v>
      </c>
      <c r="J26" s="4">
        <f t="shared" si="1"/>
        <v>227025649303.03635</v>
      </c>
    </row>
    <row r="27" spans="1:10" ht="10.5" customHeight="1">
      <c r="A27" s="5">
        <f t="shared" si="2"/>
        <v>88</v>
      </c>
      <c r="C27" s="5">
        <v>12</v>
      </c>
      <c r="D27" s="5">
        <v>0</v>
      </c>
      <c r="E27" s="5">
        <f>C27*Dimensions!$C$101+D27*Dimensions!$C$102</f>
        <v>3.6576000000000004</v>
      </c>
      <c r="G27" s="11">
        <f t="shared" si="0"/>
        <v>327.35520000000014</v>
      </c>
      <c r="H27" s="11">
        <f>SQRT(2*Dimensions!$D$6*G27)</f>
        <v>80.12812080761661</v>
      </c>
      <c r="I27" s="12">
        <f>0.5*'Tower Mass'!AC30*H27*H27</f>
        <v>8125474726.865447</v>
      </c>
      <c r="J27" s="4">
        <f t="shared" si="1"/>
        <v>235151124029.9018</v>
      </c>
    </row>
    <row r="28" spans="1:10" ht="10.5" customHeight="1">
      <c r="A28" s="5">
        <f t="shared" si="2"/>
        <v>87</v>
      </c>
      <c r="C28" s="5">
        <v>12</v>
      </c>
      <c r="D28" s="5">
        <v>0</v>
      </c>
      <c r="E28" s="5">
        <f>C28*Dimensions!$C$101+D28*Dimensions!$C$102</f>
        <v>3.6576000000000004</v>
      </c>
      <c r="G28" s="11">
        <f t="shared" si="0"/>
        <v>323.69760000000014</v>
      </c>
      <c r="H28" s="11">
        <f>SQRT(2*Dimensions!$D$6*G28)</f>
        <v>79.6792202401605</v>
      </c>
      <c r="I28" s="12">
        <f>0.5*'Tower Mass'!AC31*H28*H28</f>
        <v>8072573541.855792</v>
      </c>
      <c r="J28" s="4">
        <f t="shared" si="1"/>
        <v>243223697571.7576</v>
      </c>
    </row>
    <row r="29" spans="1:10" ht="10.5" customHeight="1">
      <c r="A29" s="5">
        <f t="shared" si="2"/>
        <v>86</v>
      </c>
      <c r="C29" s="5">
        <v>12</v>
      </c>
      <c r="D29" s="5">
        <v>0</v>
      </c>
      <c r="E29" s="5">
        <f>C29*Dimensions!$C$101+D29*Dimensions!$C$102</f>
        <v>3.6576000000000004</v>
      </c>
      <c r="G29" s="11">
        <f t="shared" si="0"/>
        <v>320.04000000000013</v>
      </c>
      <c r="H29" s="11">
        <f>SQRT(2*Dimensions!$D$6*G29)</f>
        <v>79.22777626565069</v>
      </c>
      <c r="I29" s="12">
        <f>0.5*'Tower Mass'!AC32*H29*H29</f>
        <v>8018816170.583849</v>
      </c>
      <c r="J29" s="4">
        <f t="shared" si="1"/>
        <v>251242513742.34146</v>
      </c>
    </row>
    <row r="30" spans="1:10" ht="10.5" customHeight="1">
      <c r="A30" s="5">
        <f t="shared" si="2"/>
        <v>85</v>
      </c>
      <c r="C30" s="5">
        <v>12</v>
      </c>
      <c r="D30" s="5">
        <v>0</v>
      </c>
      <c r="E30" s="5">
        <f>C30*Dimensions!$C$101+D30*Dimensions!$C$102</f>
        <v>3.6576000000000004</v>
      </c>
      <c r="G30" s="11">
        <f t="shared" si="0"/>
        <v>316.38240000000013</v>
      </c>
      <c r="H30" s="11">
        <f>SQRT(2*Dimensions!$D$6*G30)</f>
        <v>78.77374515611152</v>
      </c>
      <c r="I30" s="12">
        <f>0.5*'Tower Mass'!AC33*H30*H30</f>
        <v>7964202613.049622</v>
      </c>
      <c r="J30" s="4">
        <f t="shared" si="1"/>
        <v>259206716355.39108</v>
      </c>
    </row>
    <row r="31" spans="1:10" ht="10.5" customHeight="1">
      <c r="A31" s="5">
        <f t="shared" si="2"/>
        <v>84</v>
      </c>
      <c r="C31" s="5">
        <v>12</v>
      </c>
      <c r="D31" s="5">
        <v>0</v>
      </c>
      <c r="E31" s="5">
        <f>C31*Dimensions!$C$101+D31*Dimensions!$C$102</f>
        <v>3.6576000000000004</v>
      </c>
      <c r="G31" s="11">
        <f t="shared" si="0"/>
        <v>312.72480000000013</v>
      </c>
      <c r="H31" s="11">
        <f>SQRT(2*Dimensions!$D$6*G31)</f>
        <v>78.31708191601626</v>
      </c>
      <c r="I31" s="12">
        <f>0.5*'Tower Mass'!AC34*H31*H31</f>
        <v>7908732869.253106</v>
      </c>
      <c r="J31" s="4">
        <f t="shared" si="1"/>
        <v>267115449224.6442</v>
      </c>
    </row>
    <row r="32" spans="1:10" ht="10.5" customHeight="1">
      <c r="A32" s="5">
        <f t="shared" si="2"/>
        <v>83</v>
      </c>
      <c r="C32" s="5">
        <v>12</v>
      </c>
      <c r="D32" s="5">
        <v>0</v>
      </c>
      <c r="E32" s="5">
        <f>C32*Dimensions!$C$101+D32*Dimensions!$C$102</f>
        <v>3.6576000000000004</v>
      </c>
      <c r="G32" s="11">
        <f t="shared" si="0"/>
        <v>309.0672000000001</v>
      </c>
      <c r="H32" s="11">
        <f>SQRT(2*Dimensions!$D$6*G32)</f>
        <v>77.85774023024302</v>
      </c>
      <c r="I32" s="12">
        <f>0.5*'Tower Mass'!AC35*H32*H32</f>
        <v>7852406781.544928</v>
      </c>
      <c r="J32" s="4">
        <f t="shared" si="1"/>
        <v>274967856006.18915</v>
      </c>
    </row>
    <row r="33" spans="1:10" ht="10.5" customHeight="1">
      <c r="A33" s="5">
        <f t="shared" si="2"/>
        <v>82</v>
      </c>
      <c r="C33" s="5">
        <v>12</v>
      </c>
      <c r="D33" s="5">
        <v>0</v>
      </c>
      <c r="E33" s="5">
        <f>C33*Dimensions!$C$101+D33*Dimensions!$C$102</f>
        <v>3.6576000000000004</v>
      </c>
      <c r="G33" s="11">
        <f t="shared" si="0"/>
        <v>305.4096000000001</v>
      </c>
      <c r="H33" s="11">
        <f>SQRT(2*Dimensions!$D$6*G33)</f>
        <v>77.3956724092504</v>
      </c>
      <c r="I33" s="12">
        <f>0.5*'Tower Mass'!AC36*H33*H33</f>
        <v>7795224667.089514</v>
      </c>
      <c r="J33" s="4">
        <f t="shared" si="1"/>
        <v>282763080673.2787</v>
      </c>
    </row>
    <row r="34" spans="1:10" ht="10.5" customHeight="1">
      <c r="A34" s="5">
        <f t="shared" si="2"/>
        <v>81</v>
      </c>
      <c r="C34" s="5">
        <v>12</v>
      </c>
      <c r="D34" s="5">
        <v>0</v>
      </c>
      <c r="E34" s="5">
        <f>C34*Dimensions!$C$101+D34*Dimensions!$C$102</f>
        <v>3.6576000000000004</v>
      </c>
      <c r="G34" s="11">
        <f t="shared" si="0"/>
        <v>301.7520000000001</v>
      </c>
      <c r="H34" s="11">
        <f>SQRT(2*Dimensions!$D$6*G34)</f>
        <v>76.93082933128956</v>
      </c>
      <c r="I34" s="12">
        <f>0.5*'Tower Mass'!AC37*H34*H34</f>
        <v>7737186366.371812</v>
      </c>
      <c r="J34" s="4">
        <f t="shared" si="1"/>
        <v>290500267039.6505</v>
      </c>
    </row>
    <row r="35" spans="1:10" ht="10.5" customHeight="1">
      <c r="A35" s="5">
        <f t="shared" si="2"/>
        <v>80</v>
      </c>
      <c r="C35" s="5">
        <v>12</v>
      </c>
      <c r="D35" s="5">
        <v>0</v>
      </c>
      <c r="E35" s="5">
        <f>C35*Dimensions!$C$101+D35*Dimensions!$C$102</f>
        <v>3.6576000000000004</v>
      </c>
      <c r="G35" s="11">
        <f t="shared" si="0"/>
        <v>298.0944000000001</v>
      </c>
      <c r="H35" s="11">
        <f>SQRT(2*Dimensions!$D$6*G35)</f>
        <v>76.4631603814543</v>
      </c>
      <c r="I35" s="12">
        <f>0.5*'Tower Mass'!AC38*H35*H35</f>
        <v>7678291879.391828</v>
      </c>
      <c r="J35" s="4">
        <f t="shared" si="1"/>
        <v>298178558919.04236</v>
      </c>
    </row>
    <row r="36" spans="1:10" ht="10.5" customHeight="1">
      <c r="A36" s="5">
        <f t="shared" si="2"/>
        <v>79</v>
      </c>
      <c r="C36" s="5">
        <v>12</v>
      </c>
      <c r="D36" s="5">
        <v>0</v>
      </c>
      <c r="E36" s="5">
        <f>C36*Dimensions!$C$101+D36*Dimensions!$C$102</f>
        <v>3.6576000000000004</v>
      </c>
      <c r="G36" s="11">
        <f t="shared" si="0"/>
        <v>294.4368000000001</v>
      </c>
      <c r="H36" s="11">
        <f>SQRT(2*Dimensions!$D$6*G36)</f>
        <v>75.99261338735496</v>
      </c>
      <c r="I36" s="12">
        <f>0.5*'Tower Mass'!AC39*H36*H36</f>
        <v>7618541206.149553</v>
      </c>
      <c r="J36" s="4">
        <f t="shared" si="1"/>
        <v>305797100125.1919</v>
      </c>
    </row>
    <row r="37" spans="1:10" ht="10.5" customHeight="1">
      <c r="A37" s="5">
        <f t="shared" si="2"/>
        <v>78</v>
      </c>
      <c r="C37" s="5">
        <v>14</v>
      </c>
      <c r="D37" s="5">
        <v>0</v>
      </c>
      <c r="E37" s="5">
        <f>C37*Dimensions!$C$101+D37*Dimensions!$C$102</f>
        <v>4.2672</v>
      </c>
      <c r="G37" s="11">
        <f t="shared" si="0"/>
        <v>290.1696000000001</v>
      </c>
      <c r="H37" s="11">
        <f>SQRT(2*Dimensions!$D$6*G37)</f>
        <v>75.43993250050003</v>
      </c>
      <c r="I37" s="12">
        <f>0.5*'Tower Mass'!AC40*H37*H37</f>
        <v>7542089620.551401</v>
      </c>
      <c r="J37" s="4">
        <f t="shared" si="1"/>
        <v>313339189745.7433</v>
      </c>
    </row>
    <row r="38" spans="1:10" ht="10.5" customHeight="1">
      <c r="A38" s="5">
        <f t="shared" si="2"/>
        <v>77</v>
      </c>
      <c r="C38" s="5">
        <v>12</v>
      </c>
      <c r="D38" s="5">
        <v>0</v>
      </c>
      <c r="E38" s="5">
        <f>C38*Dimensions!$C$101+D38*Dimensions!$C$102</f>
        <v>3.6576000000000004</v>
      </c>
      <c r="G38" s="11">
        <f t="shared" si="0"/>
        <v>286.5120000000001</v>
      </c>
      <c r="H38" s="11">
        <f>SQRT(2*Dimensions!$D$6*G38)</f>
        <v>74.9629629190309</v>
      </c>
      <c r="I38" s="12">
        <f>0.5*'Tower Mass'!AC41*H38*H38</f>
        <v>16090694152.712997</v>
      </c>
      <c r="J38" s="4">
        <f aca="true" t="shared" si="3" ref="J38:J69">J37+I38</f>
        <v>329429883898.4563</v>
      </c>
    </row>
    <row r="39" spans="1:10" ht="10.5" customHeight="1">
      <c r="A39" s="5">
        <f t="shared" si="2"/>
        <v>76</v>
      </c>
      <c r="C39" s="5">
        <v>14</v>
      </c>
      <c r="D39" s="5">
        <v>0</v>
      </c>
      <c r="E39" s="5">
        <f>C39*Dimensions!$C$101+D39*Dimensions!$C$102</f>
        <v>4.2672</v>
      </c>
      <c r="G39" s="11">
        <f t="shared" si="0"/>
        <v>282.2448000000001</v>
      </c>
      <c r="H39" s="11">
        <f>SQRT(2*Dimensions!$D$6*G39)</f>
        <v>74.40263393079577</v>
      </c>
      <c r="I39" s="12">
        <f>0.5*'Tower Mass'!AC42*H39*H39</f>
        <v>15884080036.349205</v>
      </c>
      <c r="J39" s="4">
        <f t="shared" si="3"/>
        <v>345313963934.8055</v>
      </c>
    </row>
    <row r="40" spans="1:10" ht="10.5" customHeight="1">
      <c r="A40" s="5">
        <f t="shared" si="2"/>
        <v>75</v>
      </c>
      <c r="C40" s="5">
        <v>14</v>
      </c>
      <c r="D40" s="5">
        <v>0</v>
      </c>
      <c r="E40" s="5">
        <f>C40*Dimensions!$C$101+D40*Dimensions!$C$102</f>
        <v>4.2672</v>
      </c>
      <c r="G40" s="11">
        <f t="shared" si="0"/>
        <v>277.9776000000001</v>
      </c>
      <c r="H40" s="11">
        <f>SQRT(2*Dimensions!$D$6*G40)</f>
        <v>73.83805294074324</v>
      </c>
      <c r="I40" s="12">
        <f>0.5*'Tower Mass'!AC43*H40*H40</f>
        <v>15676467036.012735</v>
      </c>
      <c r="J40" s="4">
        <f t="shared" si="3"/>
        <v>360990430970.81824</v>
      </c>
    </row>
    <row r="41" spans="1:10" ht="10.5" customHeight="1">
      <c r="A41" s="5">
        <f t="shared" si="2"/>
        <v>74</v>
      </c>
      <c r="C41" s="5">
        <v>14</v>
      </c>
      <c r="D41" s="5">
        <v>0</v>
      </c>
      <c r="E41" s="5">
        <f>C41*Dimensions!$C$101+D41*Dimensions!$C$102</f>
        <v>4.2672</v>
      </c>
      <c r="G41" s="11">
        <f t="shared" si="0"/>
        <v>273.7104000000001</v>
      </c>
      <c r="H41" s="11">
        <f>SQRT(2*Dimensions!$D$6*G41)</f>
        <v>73.26912165653415</v>
      </c>
      <c r="I41" s="12">
        <f>0.5*'Tower Mass'!AC44*H41*H41</f>
        <v>7242424699.561017</v>
      </c>
      <c r="J41" s="4">
        <f t="shared" si="3"/>
        <v>368232855670.3793</v>
      </c>
    </row>
    <row r="42" spans="1:10" ht="10.5" customHeight="1">
      <c r="A42" s="5">
        <f t="shared" si="2"/>
        <v>73</v>
      </c>
      <c r="C42" s="5">
        <v>12</v>
      </c>
      <c r="D42" s="5">
        <v>0</v>
      </c>
      <c r="E42" s="5">
        <f>C42*Dimensions!$C$101+D42*Dimensions!$C$102</f>
        <v>3.6576000000000004</v>
      </c>
      <c r="G42" s="11">
        <f t="shared" si="0"/>
        <v>270.0528000000001</v>
      </c>
      <c r="H42" s="11">
        <f>SQRT(2*Dimensions!$D$6*G42)</f>
        <v>72.77792647664539</v>
      </c>
      <c r="I42" s="12">
        <f>0.5*'Tower Mass'!AC45*H42*H42</f>
        <v>7177251511.458593</v>
      </c>
      <c r="J42" s="4">
        <f t="shared" si="3"/>
        <v>375410107181.8379</v>
      </c>
    </row>
    <row r="43" spans="1:10" ht="10.5" customHeight="1">
      <c r="A43" s="5">
        <f t="shared" si="2"/>
        <v>72</v>
      </c>
      <c r="C43" s="5">
        <v>12</v>
      </c>
      <c r="D43" s="5">
        <v>0</v>
      </c>
      <c r="E43" s="5">
        <f>C43*Dimensions!$C$101+D43*Dimensions!$C$102</f>
        <v>3.6576000000000004</v>
      </c>
      <c r="G43" s="11">
        <f t="shared" si="0"/>
        <v>266.3952000000001</v>
      </c>
      <c r="H43" s="11">
        <f>SQRT(2*Dimensions!$D$6*G43)</f>
        <v>72.28339350196559</v>
      </c>
      <c r="I43" s="12">
        <f>0.5*'Tower Mass'!AC46*H43*H43</f>
        <v>7111222137.093884</v>
      </c>
      <c r="J43" s="4">
        <f t="shared" si="3"/>
        <v>382521329318.93176</v>
      </c>
    </row>
    <row r="44" spans="1:10" ht="10.5" customHeight="1">
      <c r="A44" s="5">
        <f t="shared" si="2"/>
        <v>71</v>
      </c>
      <c r="C44" s="5">
        <v>12</v>
      </c>
      <c r="D44" s="5">
        <v>0</v>
      </c>
      <c r="E44" s="5">
        <f>C44*Dimensions!$C$101+D44*Dimensions!$C$102</f>
        <v>3.6576000000000004</v>
      </c>
      <c r="G44" s="11">
        <f t="shared" si="0"/>
        <v>262.7376000000001</v>
      </c>
      <c r="H44" s="11">
        <f>SQRT(2*Dimensions!$D$6*G44)</f>
        <v>71.78545374990675</v>
      </c>
      <c r="I44" s="12">
        <f>0.5*'Tower Mass'!AC47*H44*H44</f>
        <v>7044336576.466887</v>
      </c>
      <c r="J44" s="4">
        <f t="shared" si="3"/>
        <v>389565665895.3986</v>
      </c>
    </row>
    <row r="45" spans="1:10" ht="10.5" customHeight="1">
      <c r="A45" s="5">
        <f t="shared" si="2"/>
        <v>70</v>
      </c>
      <c r="C45" s="5">
        <v>12</v>
      </c>
      <c r="D45" s="5">
        <v>0</v>
      </c>
      <c r="E45" s="5">
        <f>C45*Dimensions!$C$101+D45*Dimensions!$C$102</f>
        <v>3.6576000000000004</v>
      </c>
      <c r="G45" s="11">
        <f t="shared" si="0"/>
        <v>259.0800000000001</v>
      </c>
      <c r="H45" s="11">
        <f>SQRT(2*Dimensions!$D$6*G45)</f>
        <v>71.28403582850792</v>
      </c>
      <c r="I45" s="12">
        <f>0.5*'Tower Mass'!AC48*H45*H45</f>
        <v>6976594829.577607</v>
      </c>
      <c r="J45" s="4">
        <f t="shared" si="3"/>
        <v>396542260724.97626</v>
      </c>
    </row>
    <row r="46" spans="1:10" ht="10.5" customHeight="1">
      <c r="A46" s="5">
        <f t="shared" si="2"/>
        <v>69</v>
      </c>
      <c r="C46" s="5">
        <v>12</v>
      </c>
      <c r="D46" s="5">
        <v>0</v>
      </c>
      <c r="E46" s="5">
        <f>C46*Dimensions!$C$101+D46*Dimensions!$C$102</f>
        <v>3.6576000000000004</v>
      </c>
      <c r="G46" s="11">
        <f t="shared" si="0"/>
        <v>255.42240000000012</v>
      </c>
      <c r="H46" s="11">
        <f>SQRT(2*Dimensions!$D$6*G46)</f>
        <v>70.77906581694903</v>
      </c>
      <c r="I46" s="12">
        <f>0.5*'Tower Mass'!AC49*H46*H46</f>
        <v>6907996896.42604</v>
      </c>
      <c r="J46" s="4">
        <f t="shared" si="3"/>
        <v>403450257621.4023</v>
      </c>
    </row>
    <row r="47" spans="1:10" ht="10.5" customHeight="1">
      <c r="A47" s="5">
        <f t="shared" si="2"/>
        <v>68</v>
      </c>
      <c r="C47" s="5">
        <v>12</v>
      </c>
      <c r="D47" s="5">
        <v>0</v>
      </c>
      <c r="E47" s="5">
        <f>C47*Dimensions!$C$101+D47*Dimensions!$C$102</f>
        <v>3.6576000000000004</v>
      </c>
      <c r="G47" s="11">
        <f t="shared" si="0"/>
        <v>251.76480000000012</v>
      </c>
      <c r="H47" s="11">
        <f>SQRT(2*Dimensions!$D$6*G47)</f>
        <v>70.2704671383363</v>
      </c>
      <c r="I47" s="12">
        <f>0.5*'Tower Mass'!AC50*H47*H47</f>
        <v>6838542777.012185</v>
      </c>
      <c r="J47" s="4">
        <f t="shared" si="3"/>
        <v>410288800398.4145</v>
      </c>
    </row>
    <row r="48" spans="1:10" ht="10.5" customHeight="1">
      <c r="A48" s="5">
        <f t="shared" si="2"/>
        <v>67</v>
      </c>
      <c r="C48" s="131">
        <v>16</v>
      </c>
      <c r="D48" s="5">
        <v>0</v>
      </c>
      <c r="E48" s="5">
        <f>C48*Dimensions!$C$101+D48*Dimensions!$C$102</f>
        <v>4.8768</v>
      </c>
      <c r="G48" s="11">
        <f t="shared" si="0"/>
        <v>246.88800000000012</v>
      </c>
      <c r="H48" s="11">
        <f>SQRT(2*Dimensions!$D$6*G48)</f>
        <v>69.58655337347872</v>
      </c>
      <c r="I48" s="12">
        <f>0.5*'Tower Mass'!AC51*H48*H48</f>
        <v>6734973217.779838</v>
      </c>
      <c r="J48" s="4">
        <f t="shared" si="3"/>
        <v>417023773616.19434</v>
      </c>
    </row>
    <row r="49" spans="1:10" ht="10.5" customHeight="1">
      <c r="A49" s="5">
        <f t="shared" si="2"/>
        <v>66</v>
      </c>
      <c r="C49" s="5">
        <v>12</v>
      </c>
      <c r="D49" s="5">
        <v>0</v>
      </c>
      <c r="E49" s="5">
        <f>C49*Dimensions!$C$101+D49*Dimensions!$C$102</f>
        <v>3.6576000000000004</v>
      </c>
      <c r="G49" s="11">
        <f t="shared" si="0"/>
        <v>243.23040000000012</v>
      </c>
      <c r="H49" s="11">
        <f>SQRT(2*Dimensions!$D$6*G49)</f>
        <v>69.06917405268433</v>
      </c>
      <c r="I49" s="12">
        <f>0.5*'Tower Mass'!AC52*H49*H49</f>
        <v>6663664154.063969</v>
      </c>
      <c r="J49" s="4">
        <f t="shared" si="3"/>
        <v>423687437770.2583</v>
      </c>
    </row>
    <row r="50" spans="1:10" ht="10.5" customHeight="1">
      <c r="A50" s="5">
        <f t="shared" si="2"/>
        <v>65</v>
      </c>
      <c r="C50" s="16">
        <v>12</v>
      </c>
      <c r="D50" s="16">
        <v>0</v>
      </c>
      <c r="E50" s="5">
        <f>C50*Dimensions!$C$101+D50*Dimensions!$C$102</f>
        <v>3.6576000000000004</v>
      </c>
      <c r="G50" s="11">
        <f t="shared" si="0"/>
        <v>239.57280000000011</v>
      </c>
      <c r="H50" s="11">
        <f>SQRT(2*Dimensions!$D$6*G50)</f>
        <v>68.54788981609866</v>
      </c>
      <c r="I50" s="12">
        <f>0.5*'Tower Mass'!AC53*H50*H50</f>
        <v>6591498778.152876</v>
      </c>
      <c r="J50" s="4">
        <f t="shared" si="3"/>
        <v>430278936548.4112</v>
      </c>
    </row>
    <row r="51" spans="1:10" ht="10.5" customHeight="1">
      <c r="A51" s="5">
        <f t="shared" si="2"/>
        <v>64</v>
      </c>
      <c r="C51" s="16">
        <v>12</v>
      </c>
      <c r="D51" s="16">
        <v>0</v>
      </c>
      <c r="E51" s="5">
        <f>C51*Dimensions!$C$101+D51*Dimensions!$C$102</f>
        <v>3.6576000000000004</v>
      </c>
      <c r="G51" s="11">
        <f t="shared" si="0"/>
        <v>235.9152000000001</v>
      </c>
      <c r="H51" s="11">
        <f>SQRT(2*Dimensions!$D$6*G51)</f>
        <v>68.0226108890272</v>
      </c>
      <c r="I51" s="12">
        <f>0.5*'Tower Mass'!AC54*H51*H51</f>
        <v>6518477215.979497</v>
      </c>
      <c r="J51" s="4">
        <f t="shared" si="3"/>
        <v>436797413764.3907</v>
      </c>
    </row>
    <row r="52" spans="1:10" ht="10.5" customHeight="1">
      <c r="A52" s="5">
        <f t="shared" si="2"/>
        <v>63</v>
      </c>
      <c r="C52" s="16">
        <v>12</v>
      </c>
      <c r="D52" s="16">
        <v>0</v>
      </c>
      <c r="E52" s="5">
        <f>C52*Dimensions!$C$101+D52*Dimensions!$C$102</f>
        <v>3.6576000000000004</v>
      </c>
      <c r="G52" s="11">
        <f t="shared" si="0"/>
        <v>232.2576000000001</v>
      </c>
      <c r="H52" s="11">
        <f>SQRT(2*Dimensions!$D$6*G52)</f>
        <v>67.49324400323341</v>
      </c>
      <c r="I52" s="12">
        <f>0.5*'Tower Mass'!AC55*H52*H52</f>
        <v>6444599467.543833</v>
      </c>
      <c r="J52" s="4">
        <f t="shared" si="3"/>
        <v>443242013231.9345</v>
      </c>
    </row>
    <row r="53" spans="1:10" ht="10.5" customHeight="1">
      <c r="A53" s="5">
        <f t="shared" si="2"/>
        <v>62</v>
      </c>
      <c r="C53" s="16">
        <v>12</v>
      </c>
      <c r="D53" s="16">
        <v>0</v>
      </c>
      <c r="E53" s="5">
        <f>C53*Dimensions!$C$101+D53*Dimensions!$C$102</f>
        <v>3.6576000000000004</v>
      </c>
      <c r="G53" s="11">
        <f t="shared" si="0"/>
        <v>228.6000000000001</v>
      </c>
      <c r="H53" s="11">
        <f>SQRT(2*Dimensions!$D$6*G53)</f>
        <v>66.95969220359366</v>
      </c>
      <c r="I53" s="12">
        <f>0.5*'Tower Mass'!AC56*H53*H53</f>
        <v>6369865532.84588</v>
      </c>
      <c r="J53" s="4">
        <f t="shared" si="3"/>
        <v>449611878764.7804</v>
      </c>
    </row>
    <row r="54" spans="1:10" ht="10.5" customHeight="1">
      <c r="A54" s="5">
        <f t="shared" si="2"/>
        <v>61</v>
      </c>
      <c r="C54" s="16">
        <v>12</v>
      </c>
      <c r="D54" s="16">
        <v>0</v>
      </c>
      <c r="E54" s="5">
        <f>C54*Dimensions!$C$101+D54*Dimensions!$C$102</f>
        <v>3.6576000000000004</v>
      </c>
      <c r="G54" s="11">
        <f t="shared" si="0"/>
        <v>224.9424000000001</v>
      </c>
      <c r="H54" s="11">
        <f>SQRT(2*Dimensions!$D$6*G54)</f>
        <v>66.42185464077318</v>
      </c>
      <c r="I54" s="12">
        <f>0.5*'Tower Mass'!AC57*H54*H54</f>
        <v>6294275411.885641</v>
      </c>
      <c r="J54" s="4">
        <f t="shared" si="3"/>
        <v>455906154176.666</v>
      </c>
    </row>
    <row r="55" spans="1:10" ht="10.5" customHeight="1">
      <c r="A55" s="5">
        <f t="shared" si="2"/>
        <v>60</v>
      </c>
      <c r="C55" s="16">
        <v>12</v>
      </c>
      <c r="D55" s="16">
        <v>0</v>
      </c>
      <c r="E55" s="5">
        <f>C55*Dimensions!$C$101+D55*Dimensions!$C$102</f>
        <v>3.6576000000000004</v>
      </c>
      <c r="G55" s="11">
        <f t="shared" si="0"/>
        <v>221.2848000000001</v>
      </c>
      <c r="H55" s="11">
        <f>SQRT(2*Dimensions!$D$6*G55)</f>
        <v>65.87962634866717</v>
      </c>
      <c r="I55" s="12">
        <f>0.5*'Tower Mass'!AC58*H55*H55</f>
        <v>6217829104.663119</v>
      </c>
      <c r="J55" s="4">
        <f t="shared" si="3"/>
        <v>462123983281.32916</v>
      </c>
    </row>
    <row r="56" spans="1:10" ht="10.5" customHeight="1">
      <c r="A56" s="5">
        <f t="shared" si="2"/>
        <v>59</v>
      </c>
      <c r="C56" s="16">
        <v>12</v>
      </c>
      <c r="D56" s="16">
        <v>0</v>
      </c>
      <c r="E56" s="5">
        <f>C56*Dimensions!$C$101+D56*Dimensions!$C$102</f>
        <v>3.6576000000000004</v>
      </c>
      <c r="G56" s="11">
        <f t="shared" si="0"/>
        <v>217.6272000000001</v>
      </c>
      <c r="H56" s="11">
        <f>SQRT(2*Dimensions!$D$6*G56)</f>
        <v>65.33289800521634</v>
      </c>
      <c r="I56" s="12">
        <f>0.5*'Tower Mass'!AC59*H56*H56</f>
        <v>6140526500.170757</v>
      </c>
      <c r="J56" s="4">
        <f t="shared" si="3"/>
        <v>468264509781.49994</v>
      </c>
    </row>
    <row r="57" spans="1:10" ht="10.5" customHeight="1">
      <c r="A57" s="5">
        <f t="shared" si="2"/>
        <v>58</v>
      </c>
      <c r="C57" s="16">
        <v>12</v>
      </c>
      <c r="D57" s="16">
        <v>0</v>
      </c>
      <c r="E57" s="5">
        <f>C57*Dimensions!$C$101+D57*Dimensions!$C$102</f>
        <v>3.6576000000000004</v>
      </c>
      <c r="G57" s="11">
        <f t="shared" si="0"/>
        <v>213.9696000000001</v>
      </c>
      <c r="H57" s="11">
        <f>SQRT(2*Dimensions!$D$6*G57)</f>
        <v>64.78155567505308</v>
      </c>
      <c r="I57" s="12">
        <f>0.5*'Tower Mass'!AC60*H57*H57</f>
        <v>6062367931.431215</v>
      </c>
      <c r="J57" s="4">
        <f t="shared" si="3"/>
        <v>474326877712.93115</v>
      </c>
    </row>
    <row r="58" spans="1:10" ht="10.5" customHeight="1">
      <c r="A58" s="5">
        <f t="shared" si="2"/>
        <v>57</v>
      </c>
      <c r="C58" s="16">
        <v>12</v>
      </c>
      <c r="D58" s="16">
        <v>0</v>
      </c>
      <c r="E58" s="5">
        <f>C58*Dimensions!$C$101+D58*Dimensions!$C$102</f>
        <v>3.6576000000000004</v>
      </c>
      <c r="G58" s="11">
        <f t="shared" si="0"/>
        <v>210.3120000000001</v>
      </c>
      <c r="H58" s="11">
        <f>SQRT(2*Dimensions!$D$6*G58)</f>
        <v>64.22548053226228</v>
      </c>
      <c r="I58" s="12">
        <f>0.5*'Tower Mass'!AC61*H58*H58</f>
        <v>5983353065.421832</v>
      </c>
      <c r="J58" s="4">
        <f t="shared" si="3"/>
        <v>480310230778.35297</v>
      </c>
    </row>
    <row r="59" spans="1:10" ht="10.5" customHeight="1">
      <c r="A59" s="5">
        <f t="shared" si="2"/>
        <v>56</v>
      </c>
      <c r="C59" s="16">
        <v>12</v>
      </c>
      <c r="D59" s="16">
        <v>0</v>
      </c>
      <c r="E59" s="5">
        <f>C59*Dimensions!$C$101+D59*Dimensions!$C$102</f>
        <v>3.6576000000000004</v>
      </c>
      <c r="G59" s="11">
        <f t="shared" si="0"/>
        <v>206.6544000000001</v>
      </c>
      <c r="H59" s="11">
        <f>SQRT(2*Dimensions!$D$6*G59)</f>
        <v>63.664548561346145</v>
      </c>
      <c r="I59" s="12">
        <f>0.5*'Tower Mass'!AC62*H59*H59</f>
        <v>5903482013.150165</v>
      </c>
      <c r="J59" s="4">
        <f t="shared" si="3"/>
        <v>486213712791.5031</v>
      </c>
    </row>
    <row r="60" spans="1:10" ht="10.5" customHeight="1">
      <c r="A60" s="5">
        <f t="shared" si="2"/>
        <v>55</v>
      </c>
      <c r="C60" s="16">
        <v>12</v>
      </c>
      <c r="D60" s="16">
        <v>0</v>
      </c>
      <c r="E60" s="5">
        <f>C60*Dimensions!$C$101+D60*Dimensions!$C$102</f>
        <v>3.6576000000000004</v>
      </c>
      <c r="G60" s="11">
        <f t="shared" si="0"/>
        <v>202.9968000000001</v>
      </c>
      <c r="H60" s="11">
        <f>SQRT(2*Dimensions!$D$6*G60)</f>
        <v>63.098630234261044</v>
      </c>
      <c r="I60" s="12">
        <f>0.5*'Tower Mass'!AC63*H60*H60</f>
        <v>5822754774.616212</v>
      </c>
      <c r="J60" s="4">
        <f t="shared" si="3"/>
        <v>492036467566.1193</v>
      </c>
    </row>
    <row r="61" spans="1:10" ht="10.5" customHeight="1">
      <c r="A61" s="5">
        <f t="shared" si="2"/>
        <v>54</v>
      </c>
      <c r="C61" s="16">
        <v>12</v>
      </c>
      <c r="D61" s="16">
        <v>0</v>
      </c>
      <c r="E61" s="5">
        <f>C61*Dimensions!$C$101+D61*Dimensions!$C$102</f>
        <v>3.6576000000000004</v>
      </c>
      <c r="G61" s="11">
        <f t="shared" si="0"/>
        <v>199.3392000000001</v>
      </c>
      <c r="H61" s="11">
        <f>SQRT(2*Dimensions!$D$6*G61)</f>
        <v>62.527590161144076</v>
      </c>
      <c r="I61" s="12">
        <f>0.5*'Tower Mass'!AC64*H61*H61</f>
        <v>5741171349.819972</v>
      </c>
      <c r="J61" s="4">
        <f t="shared" si="3"/>
        <v>497777638915.9393</v>
      </c>
    </row>
    <row r="62" spans="1:10" ht="10.5" customHeight="1">
      <c r="A62" s="5">
        <f t="shared" si="2"/>
        <v>53</v>
      </c>
      <c r="C62" s="16">
        <v>12</v>
      </c>
      <c r="D62" s="16">
        <v>0</v>
      </c>
      <c r="E62" s="5">
        <f>C62*Dimensions!$C$101+D62*Dimensions!$C$102</f>
        <v>3.6576000000000004</v>
      </c>
      <c r="G62" s="11">
        <f t="shared" si="0"/>
        <v>195.6816000000001</v>
      </c>
      <c r="H62" s="11">
        <f>SQRT(2*Dimensions!$D$6*G62)</f>
        <v>61.951286712061126</v>
      </c>
      <c r="I62" s="12">
        <f>0.5*'Tower Mass'!AC65*H62*H62</f>
        <v>5658731738.761447</v>
      </c>
      <c r="J62" s="4">
        <f t="shared" si="3"/>
        <v>503436370654.70074</v>
      </c>
    </row>
    <row r="63" spans="1:10" ht="10.5" customHeight="1">
      <c r="A63" s="5">
        <f t="shared" si="2"/>
        <v>52</v>
      </c>
      <c r="C63" s="16">
        <v>12</v>
      </c>
      <c r="D63" s="16">
        <v>0</v>
      </c>
      <c r="E63" s="5">
        <f>C63*Dimensions!$C$101+D63*Dimensions!$C$102</f>
        <v>3.6576000000000004</v>
      </c>
      <c r="G63" s="11">
        <f t="shared" si="0"/>
        <v>192.0240000000001</v>
      </c>
      <c r="H63" s="11">
        <f>SQRT(2*Dimensions!$D$6*G63)</f>
        <v>61.36957160678247</v>
      </c>
      <c r="I63" s="12">
        <f>0.5*'Tower Mass'!AC66*H63*H63</f>
        <v>5575435941.440635</v>
      </c>
      <c r="J63" s="4">
        <f t="shared" si="3"/>
        <v>509011806596.14136</v>
      </c>
    </row>
    <row r="64" spans="1:10" ht="10.5" customHeight="1">
      <c r="A64" s="5">
        <f t="shared" si="2"/>
        <v>51</v>
      </c>
      <c r="C64" s="16">
        <v>12</v>
      </c>
      <c r="D64" s="16">
        <v>0</v>
      </c>
      <c r="E64" s="5">
        <f>C64*Dimensions!$C$101+D64*Dimensions!$C$102</f>
        <v>3.6576000000000004</v>
      </c>
      <c r="G64" s="11">
        <f t="shared" si="0"/>
        <v>188.36640000000008</v>
      </c>
      <c r="H64" s="11">
        <f>SQRT(2*Dimensions!$D$6*G64)</f>
        <v>60.78228946921958</v>
      </c>
      <c r="I64" s="12">
        <f>0.5*'Tower Mass'!AC67*H64*H64</f>
        <v>5491283957.857536</v>
      </c>
      <c r="J64" s="4">
        <f t="shared" si="3"/>
        <v>514503090553.9989</v>
      </c>
    </row>
    <row r="65" spans="1:10" ht="10.5" customHeight="1">
      <c r="A65" s="5">
        <f t="shared" si="2"/>
        <v>50</v>
      </c>
      <c r="C65" s="16">
        <v>12</v>
      </c>
      <c r="D65" s="16">
        <v>0</v>
      </c>
      <c r="E65" s="5">
        <f>C65*Dimensions!$C$101+D65*Dimensions!$C$102</f>
        <v>3.6576000000000004</v>
      </c>
      <c r="G65" s="11">
        <f t="shared" si="0"/>
        <v>184.70880000000008</v>
      </c>
      <c r="H65" s="11">
        <f>SQRT(2*Dimensions!$D$6*G65)</f>
        <v>60.189277342729426</v>
      </c>
      <c r="I65" s="12">
        <f>0.5*'Tower Mass'!AC68*H65*H65</f>
        <v>5406275788.012153</v>
      </c>
      <c r="J65" s="4">
        <f t="shared" si="3"/>
        <v>519909366342.01105</v>
      </c>
    </row>
    <row r="66" spans="1:10" ht="10.5" customHeight="1">
      <c r="A66" s="5">
        <f t="shared" si="2"/>
        <v>49</v>
      </c>
      <c r="C66" s="16">
        <v>12</v>
      </c>
      <c r="D66" s="16">
        <v>0</v>
      </c>
      <c r="E66" s="5">
        <f>C66*Dimensions!$C$101+D66*Dimensions!$C$102</f>
        <v>3.6576000000000004</v>
      </c>
      <c r="G66" s="11">
        <f t="shared" si="0"/>
        <v>181.05120000000008</v>
      </c>
      <c r="H66" s="11">
        <f>SQRT(2*Dimensions!$D$6*G66)</f>
        <v>59.590364162001904</v>
      </c>
      <c r="I66" s="12">
        <f>0.5*'Tower Mass'!AC69*H66*H66</f>
        <v>5320411339.55366</v>
      </c>
      <c r="J66" s="4">
        <f t="shared" si="3"/>
        <v>525229777681.5647</v>
      </c>
    </row>
    <row r="67" spans="1:10" ht="10.5" customHeight="1">
      <c r="A67" s="5">
        <f t="shared" si="2"/>
        <v>48</v>
      </c>
      <c r="C67" s="16">
        <v>12</v>
      </c>
      <c r="D67" s="16">
        <v>0</v>
      </c>
      <c r="E67" s="5">
        <f>C67*Dimensions!$C$101+D67*Dimensions!$C$102</f>
        <v>3.6576000000000004</v>
      </c>
      <c r="G67" s="11">
        <f t="shared" si="0"/>
        <v>177.39360000000008</v>
      </c>
      <c r="H67" s="11">
        <f>SQRT(2*Dimensions!$D$6*G67)</f>
        <v>58.98537017668026</v>
      </c>
      <c r="I67" s="12">
        <f>0.5*'Tower Mass'!AC70*H67*H67</f>
        <v>5233690799.049378</v>
      </c>
      <c r="J67" s="4">
        <f t="shared" si="3"/>
        <v>530463468480.6141</v>
      </c>
    </row>
    <row r="68" spans="1:10" ht="10.5" customHeight="1">
      <c r="A68" s="5">
        <f t="shared" si="2"/>
        <v>47</v>
      </c>
      <c r="C68" s="16">
        <v>12</v>
      </c>
      <c r="D68" s="16">
        <v>0</v>
      </c>
      <c r="E68" s="5">
        <f>C68*Dimensions!$C$101+D68*Dimensions!$C$102</f>
        <v>3.6576000000000004</v>
      </c>
      <c r="G68" s="11">
        <f t="shared" si="0"/>
        <v>173.73600000000008</v>
      </c>
      <c r="H68" s="11">
        <f>SQRT(2*Dimensions!$D$6*G68)</f>
        <v>58.37410632121062</v>
      </c>
      <c r="I68" s="12">
        <f>0.5*'Tower Mass'!AC71*H68*H68</f>
        <v>5146114072.28281</v>
      </c>
      <c r="J68" s="4">
        <f t="shared" si="3"/>
        <v>535609582552.8969</v>
      </c>
    </row>
    <row r="69" spans="1:10" ht="10.5" customHeight="1">
      <c r="A69" s="5">
        <f t="shared" si="2"/>
        <v>46</v>
      </c>
      <c r="C69" s="16">
        <v>12</v>
      </c>
      <c r="D69" s="16">
        <v>0</v>
      </c>
      <c r="E69" s="5">
        <f>C69*Dimensions!$C$101+D69*Dimensions!$C$102</f>
        <v>3.6576000000000004</v>
      </c>
      <c r="G69" s="11">
        <f aca="true" t="shared" si="4" ref="G69:G112">G70+E70</f>
        <v>170.07840000000007</v>
      </c>
      <c r="H69" s="11">
        <f>SQRT(2*Dimensions!$D$6*G69)</f>
        <v>57.75637352465961</v>
      </c>
      <c r="I69" s="12">
        <f>0.5*'Tower Mass'!AC72*H69*H69</f>
        <v>5057681159.253954</v>
      </c>
      <c r="J69" s="4">
        <f t="shared" si="3"/>
        <v>540667263712.1509</v>
      </c>
    </row>
    <row r="70" spans="1:10" ht="10.5" customHeight="1">
      <c r="A70" s="5">
        <f t="shared" si="2"/>
        <v>45</v>
      </c>
      <c r="C70" s="16">
        <v>12</v>
      </c>
      <c r="D70" s="16">
        <v>0</v>
      </c>
      <c r="E70" s="5">
        <f>C70*Dimensions!$C$101+D70*Dimensions!$C$102</f>
        <v>3.6576000000000004</v>
      </c>
      <c r="G70" s="11">
        <f t="shared" si="4"/>
        <v>166.42080000000007</v>
      </c>
      <c r="H70" s="11">
        <f>SQRT(2*Dimensions!$D$6*G70)</f>
        <v>57.131961953358484</v>
      </c>
      <c r="I70" s="12">
        <f>0.5*'Tower Mass'!AC73*H70*H70</f>
        <v>4968392059.962813</v>
      </c>
      <c r="J70" s="4">
        <f aca="true" t="shared" si="5" ref="J70:J101">J69+I70</f>
        <v>545635655772.1137</v>
      </c>
    </row>
    <row r="71" spans="1:10" ht="10.5" customHeight="1">
      <c r="A71" s="5">
        <f aca="true" t="shared" si="6" ref="A71:A114">A70-1</f>
        <v>44</v>
      </c>
      <c r="C71" s="5">
        <v>14</v>
      </c>
      <c r="D71" s="5">
        <v>0</v>
      </c>
      <c r="E71" s="5">
        <f>C71*Dimensions!$C$101+D71*Dimensions!$C$102</f>
        <v>4.2672</v>
      </c>
      <c r="G71" s="11">
        <f t="shared" si="4"/>
        <v>162.15360000000007</v>
      </c>
      <c r="H71" s="11">
        <f>SQRT(2*Dimensions!$D$6*G71)</f>
        <v>56.39474446151876</v>
      </c>
      <c r="I71" s="12">
        <f>0.5*'Tower Mass'!AC74*H71*H71</f>
        <v>4859976187.239312</v>
      </c>
      <c r="J71" s="4">
        <f t="shared" si="5"/>
        <v>550495631959.353</v>
      </c>
    </row>
    <row r="72" spans="1:10" ht="10.5" customHeight="1">
      <c r="A72" s="5">
        <f t="shared" si="6"/>
        <v>43</v>
      </c>
      <c r="C72" s="5">
        <v>14</v>
      </c>
      <c r="D72" s="5">
        <v>0</v>
      </c>
      <c r="E72" s="5">
        <f>C72*Dimensions!$C$101+D72*Dimensions!$C$102</f>
        <v>4.2672</v>
      </c>
      <c r="G72" s="11">
        <f t="shared" si="4"/>
        <v>157.88640000000007</v>
      </c>
      <c r="H72" s="11">
        <f>SQRT(2*Dimensions!$D$6*G72)</f>
        <v>55.64776122289199</v>
      </c>
      <c r="I72" s="12">
        <f>0.5*'Tower Mass'!AC75*H72*H72</f>
        <v>9495297562.536678</v>
      </c>
      <c r="J72" s="4">
        <f t="shared" si="5"/>
        <v>559990929521.8896</v>
      </c>
    </row>
    <row r="73" spans="1:10" ht="10.5" customHeight="1">
      <c r="A73" s="5">
        <f t="shared" si="6"/>
        <v>42</v>
      </c>
      <c r="C73" s="5">
        <v>14</v>
      </c>
      <c r="D73" s="5">
        <v>0</v>
      </c>
      <c r="E73" s="5">
        <f>C73*Dimensions!$C$101+D73*Dimensions!$C$102</f>
        <v>4.2672</v>
      </c>
      <c r="G73" s="11">
        <f t="shared" si="4"/>
        <v>153.61920000000006</v>
      </c>
      <c r="H73" s="11">
        <f>SQRT(2*Dimensions!$D$6*G73)</f>
        <v>54.89061354512264</v>
      </c>
      <c r="I73" s="12">
        <f>0.5*'Tower Mass'!AC76*H73*H73</f>
        <v>9256647810.192343</v>
      </c>
      <c r="J73" s="4">
        <f t="shared" si="5"/>
        <v>569247577332.082</v>
      </c>
    </row>
    <row r="74" spans="1:10" ht="10.5" customHeight="1">
      <c r="A74" s="5">
        <f t="shared" si="6"/>
        <v>41</v>
      </c>
      <c r="C74" s="5">
        <v>14</v>
      </c>
      <c r="D74" s="5">
        <v>0</v>
      </c>
      <c r="E74" s="5">
        <f>C74*Dimensions!$C$101+D74*Dimensions!$C$102</f>
        <v>4.2672</v>
      </c>
      <c r="G74" s="11">
        <f t="shared" si="4"/>
        <v>149.35200000000006</v>
      </c>
      <c r="H74" s="11">
        <f>SQRT(2*Dimensions!$D$6*G74)</f>
        <v>54.122874846039</v>
      </c>
      <c r="I74" s="12">
        <f>0.5*'Tower Mass'!AC77*H74*H74</f>
        <v>9016999173.87534</v>
      </c>
      <c r="J74" s="4">
        <f t="shared" si="5"/>
        <v>578264576505.9574</v>
      </c>
    </row>
    <row r="75" spans="1:10" ht="10.5" customHeight="1">
      <c r="A75" s="5">
        <f t="shared" si="6"/>
        <v>40</v>
      </c>
      <c r="C75" s="5">
        <v>14</v>
      </c>
      <c r="D75" s="5">
        <v>0</v>
      </c>
      <c r="E75" s="5">
        <f>C75*Dimensions!$C$101+D75*Dimensions!$C$102</f>
        <v>4.2672</v>
      </c>
      <c r="G75" s="11">
        <f t="shared" si="4"/>
        <v>145.08480000000006</v>
      </c>
      <c r="H75" s="11">
        <f>SQRT(2*Dimensions!$D$6*G75)</f>
        <v>53.344087843359</v>
      </c>
      <c r="I75" s="12">
        <f>0.5*'Tower Mass'!AC78*H75*H75</f>
        <v>4416323930.623677</v>
      </c>
      <c r="J75" s="4">
        <f t="shared" si="5"/>
        <v>582680900436.581</v>
      </c>
    </row>
    <row r="76" spans="1:10" ht="10.5" customHeight="1">
      <c r="A76" s="5">
        <f t="shared" si="6"/>
        <v>39</v>
      </c>
      <c r="C76" s="5">
        <v>12</v>
      </c>
      <c r="D76" s="5">
        <v>0</v>
      </c>
      <c r="E76" s="5">
        <f>C76*Dimensions!$C$101+D76*Dimensions!$C$102</f>
        <v>3.6576000000000004</v>
      </c>
      <c r="G76" s="11">
        <f t="shared" si="4"/>
        <v>141.42720000000006</v>
      </c>
      <c r="H76" s="11">
        <f>SQRT(2*Dimensions!$D$6*G76)</f>
        <v>52.667391256450145</v>
      </c>
      <c r="I76" s="12">
        <f>0.5*'Tower Mass'!AC79*H76*H76</f>
        <v>4321540967.617193</v>
      </c>
      <c r="J76" s="4">
        <f t="shared" si="5"/>
        <v>587002441404.1982</v>
      </c>
    </row>
    <row r="77" spans="1:10" ht="10.5" customHeight="1">
      <c r="A77" s="5">
        <f t="shared" si="6"/>
        <v>38</v>
      </c>
      <c r="C77" s="5">
        <v>12</v>
      </c>
      <c r="D77" s="5">
        <v>0</v>
      </c>
      <c r="E77" s="5">
        <f>C77*Dimensions!$C$101+D77*Dimensions!$C$102</f>
        <v>3.6576000000000004</v>
      </c>
      <c r="G77" s="11">
        <f t="shared" si="4"/>
        <v>137.76960000000005</v>
      </c>
      <c r="H77" s="11">
        <f>SQRT(2*Dimensions!$D$6*G77)</f>
        <v>51.9818862266463</v>
      </c>
      <c r="I77" s="12">
        <f>0.5*'Tower Mass'!AC80*H77*H77</f>
        <v>4225901818.348423</v>
      </c>
      <c r="J77" s="4">
        <f t="shared" si="5"/>
        <v>591228343222.5466</v>
      </c>
    </row>
    <row r="78" spans="1:10" ht="10.5" customHeight="1">
      <c r="A78" s="5">
        <f t="shared" si="6"/>
        <v>37</v>
      </c>
      <c r="C78" s="5">
        <v>12</v>
      </c>
      <c r="D78" s="5">
        <v>0</v>
      </c>
      <c r="E78" s="5">
        <f>C78*Dimensions!$C$101+D78*Dimensions!$C$102</f>
        <v>3.6576000000000004</v>
      </c>
      <c r="G78" s="11">
        <f t="shared" si="4"/>
        <v>134.11200000000005</v>
      </c>
      <c r="H78" s="11">
        <f>SQRT(2*Dimensions!$D$6*G78)</f>
        <v>51.287219554193044</v>
      </c>
      <c r="I78" s="12">
        <f>0.5*'Tower Mass'!AC81*H78*H78</f>
        <v>4129406482.817369</v>
      </c>
      <c r="J78" s="4">
        <f t="shared" si="5"/>
        <v>595357749705.364</v>
      </c>
    </row>
    <row r="79" spans="1:10" ht="10.5" customHeight="1">
      <c r="A79" s="5">
        <f t="shared" si="6"/>
        <v>36</v>
      </c>
      <c r="C79" s="5">
        <v>12</v>
      </c>
      <c r="D79" s="5">
        <v>0</v>
      </c>
      <c r="E79" s="5">
        <f>C79*Dimensions!$C$101+D79*Dimensions!$C$102</f>
        <v>3.6576000000000004</v>
      </c>
      <c r="G79" s="11">
        <f t="shared" si="4"/>
        <v>130.45440000000005</v>
      </c>
      <c r="H79" s="11">
        <f>SQRT(2*Dimensions!$D$6*G79)</f>
        <v>50.58301378447118</v>
      </c>
      <c r="I79" s="12">
        <f>0.5*'Tower Mass'!AC82*H79*H79</f>
        <v>4032054961.024027</v>
      </c>
      <c r="J79" s="4">
        <f t="shared" si="5"/>
        <v>599389804666.3881</v>
      </c>
    </row>
    <row r="80" spans="1:10" ht="10.5" customHeight="1">
      <c r="A80" s="5">
        <f t="shared" si="6"/>
        <v>35</v>
      </c>
      <c r="C80" s="5">
        <v>12</v>
      </c>
      <c r="D80" s="5">
        <v>0</v>
      </c>
      <c r="E80" s="5">
        <f>C80*Dimensions!$C$101+D80*Dimensions!$C$102</f>
        <v>3.6576000000000004</v>
      </c>
      <c r="G80" s="11">
        <f t="shared" si="4"/>
        <v>126.79680000000006</v>
      </c>
      <c r="H80" s="11">
        <f>SQRT(2*Dimensions!$D$6*G80)</f>
        <v>49.868864810019495</v>
      </c>
      <c r="I80" s="12">
        <f>0.5*'Tower Mass'!AC83*H80*H80</f>
        <v>3933847252.968399</v>
      </c>
      <c r="J80" s="4">
        <f t="shared" si="5"/>
        <v>603323651919.3564</v>
      </c>
    </row>
    <row r="81" spans="1:10" ht="10.5" customHeight="1">
      <c r="A81" s="5">
        <f t="shared" si="6"/>
        <v>34</v>
      </c>
      <c r="C81" s="5">
        <v>12</v>
      </c>
      <c r="D81" s="5">
        <v>0</v>
      </c>
      <c r="E81" s="5">
        <f>C81*Dimensions!$C$101+D81*Dimensions!$C$102</f>
        <v>3.6576000000000004</v>
      </c>
      <c r="G81" s="11">
        <f t="shared" si="4"/>
        <v>123.13920000000006</v>
      </c>
      <c r="H81" s="11">
        <f>SQRT(2*Dimensions!$D$6*G81)</f>
        <v>49.14433915884922</v>
      </c>
      <c r="I81" s="12">
        <f>0.5*'Tower Mass'!AC84*H81*H81</f>
        <v>3834783358.650485</v>
      </c>
      <c r="J81" s="4">
        <f t="shared" si="5"/>
        <v>607158435278.007</v>
      </c>
    </row>
    <row r="82" spans="1:10" ht="10.5" customHeight="1">
      <c r="A82" s="5">
        <f t="shared" si="6"/>
        <v>33</v>
      </c>
      <c r="C82" s="5">
        <v>12</v>
      </c>
      <c r="D82" s="5">
        <v>0</v>
      </c>
      <c r="E82" s="5">
        <f>C82*Dimensions!$C$101+D82*Dimensions!$C$102</f>
        <v>3.6576000000000004</v>
      </c>
      <c r="G82" s="11">
        <f t="shared" si="4"/>
        <v>119.48160000000006</v>
      </c>
      <c r="H82" s="11">
        <f>SQRT(2*Dimensions!$D$6*G82)</f>
        <v>48.40897091738267</v>
      </c>
      <c r="I82" s="12">
        <f>0.5*'Tower Mass'!AC85*H82*H82</f>
        <v>3734863278.0702853</v>
      </c>
      <c r="J82" s="4">
        <f t="shared" si="5"/>
        <v>610893298556.0773</v>
      </c>
    </row>
    <row r="83" spans="1:10" ht="10.5" customHeight="1">
      <c r="A83" s="5">
        <f t="shared" si="6"/>
        <v>32</v>
      </c>
      <c r="C83" s="5">
        <v>12</v>
      </c>
      <c r="D83" s="5">
        <v>0</v>
      </c>
      <c r="E83" s="5">
        <f>C83*Dimensions!$C$101+D83*Dimensions!$C$102</f>
        <v>3.6576000000000004</v>
      </c>
      <c r="G83" s="11">
        <f t="shared" si="4"/>
        <v>115.82400000000005</v>
      </c>
      <c r="H83" s="11">
        <f>SQRT(2*Dimensions!$D$6*G83)</f>
        <v>47.662258225980025</v>
      </c>
      <c r="I83" s="12">
        <f>0.5*'Tower Mass'!AC86*H83*H83</f>
        <v>3634087011.227799</v>
      </c>
      <c r="J83" s="4">
        <f t="shared" si="5"/>
        <v>614527385567.305</v>
      </c>
    </row>
    <row r="84" spans="1:10" ht="10.5" customHeight="1">
      <c r="A84" s="5">
        <f t="shared" si="6"/>
        <v>31</v>
      </c>
      <c r="C84" s="5">
        <v>12</v>
      </c>
      <c r="D84" s="5">
        <v>0</v>
      </c>
      <c r="E84" s="5">
        <f>C84*Dimensions!$C$101+D84*Dimensions!$C$102</f>
        <v>3.6576000000000004</v>
      </c>
      <c r="G84" s="11">
        <f t="shared" si="4"/>
        <v>112.16640000000005</v>
      </c>
      <c r="H84" s="11">
        <f>SQRT(2*Dimensions!$D$6*G84)</f>
        <v>46.903659272171936</v>
      </c>
      <c r="I84" s="12">
        <f>0.5*'Tower Mass'!AC87*H84*H84</f>
        <v>3532454558.1230264</v>
      </c>
      <c r="J84" s="4">
        <f t="shared" si="5"/>
        <v>618059840125.4281</v>
      </c>
    </row>
    <row r="85" spans="1:10" ht="10.5" customHeight="1">
      <c r="A85" s="5">
        <f t="shared" si="6"/>
        <v>30</v>
      </c>
      <c r="C85" s="5">
        <v>12</v>
      </c>
      <c r="D85" s="5">
        <v>0</v>
      </c>
      <c r="E85" s="5">
        <f>C85*Dimensions!$C$101+D85*Dimensions!$C$102</f>
        <v>3.6576000000000004</v>
      </c>
      <c r="G85" s="11">
        <f t="shared" si="4"/>
        <v>108.50880000000005</v>
      </c>
      <c r="H85" s="11">
        <f>SQRT(2*Dimensions!$D$6*G85)</f>
        <v>46.13258769069866</v>
      </c>
      <c r="I85" s="12">
        <f>0.5*'Tower Mass'!AC88*H85*H85</f>
        <v>3429965918.7559695</v>
      </c>
      <c r="J85" s="4">
        <f t="shared" si="5"/>
        <v>621489806044.1841</v>
      </c>
    </row>
    <row r="86" spans="1:10" ht="10.5" customHeight="1">
      <c r="A86" s="5">
        <f t="shared" si="6"/>
        <v>29</v>
      </c>
      <c r="C86" s="5">
        <v>12</v>
      </c>
      <c r="D86" s="5">
        <v>0</v>
      </c>
      <c r="E86" s="5">
        <f>C86*Dimensions!$C$101+D86*Dimensions!$C$102</f>
        <v>3.6576000000000004</v>
      </c>
      <c r="G86" s="11">
        <f t="shared" si="4"/>
        <v>104.85120000000005</v>
      </c>
      <c r="H86" s="11">
        <f>SQRT(2*Dimensions!$D$6*G86)</f>
        <v>45.34840725935147</v>
      </c>
      <c r="I86" s="12">
        <f>0.5*'Tower Mass'!AC89*H86*H86</f>
        <v>3326621093.1266255</v>
      </c>
      <c r="J86" s="4">
        <f t="shared" si="5"/>
        <v>624816427137.3107</v>
      </c>
    </row>
    <row r="87" spans="1:10" ht="10.5" customHeight="1">
      <c r="A87" s="5">
        <f t="shared" si="6"/>
        <v>28</v>
      </c>
      <c r="C87" s="5">
        <v>12</v>
      </c>
      <c r="D87" s="5">
        <v>0</v>
      </c>
      <c r="E87" s="5">
        <f>C87*Dimensions!$C$101+D87*Dimensions!$C$102</f>
        <v>3.6576000000000004</v>
      </c>
      <c r="G87" s="11">
        <f t="shared" si="4"/>
        <v>101.19360000000005</v>
      </c>
      <c r="H87" s="11">
        <f>SQRT(2*Dimensions!$D$6*G87)</f>
        <v>44.55042575419455</v>
      </c>
      <c r="I87" s="12">
        <f>0.5*'Tower Mass'!AC90*H87*H87</f>
        <v>3222420081.2349944</v>
      </c>
      <c r="J87" s="4">
        <f t="shared" si="5"/>
        <v>628038847218.5457</v>
      </c>
    </row>
    <row r="88" spans="1:10" ht="10.5" customHeight="1">
      <c r="A88" s="5">
        <f t="shared" si="6"/>
        <v>27</v>
      </c>
      <c r="C88" s="5">
        <v>12</v>
      </c>
      <c r="D88" s="5">
        <v>0</v>
      </c>
      <c r="E88" s="5">
        <f>C88*Dimensions!$C$101+D88*Dimensions!$C$102</f>
        <v>3.6576000000000004</v>
      </c>
      <c r="G88" s="11">
        <f t="shared" si="4"/>
        <v>97.53600000000004</v>
      </c>
      <c r="H88" s="11">
        <f>SQRT(2*Dimensions!$D$6*G88)</f>
        <v>43.73788779536571</v>
      </c>
      <c r="I88" s="12">
        <f>0.5*'Tower Mass'!AC91*H88*H88</f>
        <v>3117362883.0810776</v>
      </c>
      <c r="J88" s="4">
        <f t="shared" si="5"/>
        <v>631156210101.6267</v>
      </c>
    </row>
    <row r="89" spans="1:10" ht="10.5" customHeight="1">
      <c r="A89" s="5">
        <f t="shared" si="6"/>
        <v>26</v>
      </c>
      <c r="C89" s="5">
        <v>12</v>
      </c>
      <c r="D89" s="5">
        <v>0</v>
      </c>
      <c r="E89" s="5">
        <f>C89*Dimensions!$C$101+D89*Dimensions!$C$102</f>
        <v>3.6576000000000004</v>
      </c>
      <c r="G89" s="11">
        <f t="shared" si="4"/>
        <v>93.87840000000004</v>
      </c>
      <c r="H89" s="11">
        <f>SQRT(2*Dimensions!$D$6*G89)</f>
        <v>42.90996647307011</v>
      </c>
      <c r="I89" s="12">
        <f>0.5*'Tower Mass'!AC92*H89*H89</f>
        <v>3011449498.6648755</v>
      </c>
      <c r="J89" s="4">
        <f t="shared" si="5"/>
        <v>634167659600.2916</v>
      </c>
    </row>
    <row r="90" spans="1:10" ht="10.5" customHeight="1">
      <c r="A90" s="5">
        <f t="shared" si="6"/>
        <v>25</v>
      </c>
      <c r="C90" s="5">
        <v>12</v>
      </c>
      <c r="D90" s="5">
        <v>0</v>
      </c>
      <c r="E90" s="5">
        <f>C90*Dimensions!$C$101+D90*Dimensions!$C$102</f>
        <v>3.6576000000000004</v>
      </c>
      <c r="G90" s="11">
        <f t="shared" si="4"/>
        <v>90.22080000000004</v>
      </c>
      <c r="H90" s="11">
        <f>SQRT(2*Dimensions!$D$6*G90)</f>
        <v>42.06575348950736</v>
      </c>
      <c r="I90" s="12">
        <f>0.5*'Tower Mass'!AC93*H90*H90</f>
        <v>2904679881.9664497</v>
      </c>
      <c r="J90" s="4">
        <f t="shared" si="5"/>
        <v>637072339482.258</v>
      </c>
    </row>
    <row r="91" spans="1:10" ht="10.5" customHeight="1">
      <c r="A91" s="5">
        <f t="shared" si="6"/>
        <v>24</v>
      </c>
      <c r="C91" s="5">
        <v>12</v>
      </c>
      <c r="D91" s="5">
        <v>0</v>
      </c>
      <c r="E91" s="5">
        <f>C91*Dimensions!$C$101+D91*Dimensions!$C$102</f>
        <v>3.6576000000000004</v>
      </c>
      <c r="G91" s="11">
        <f t="shared" si="4"/>
        <v>86.56320000000004</v>
      </c>
      <c r="H91" s="11">
        <f>SQRT(2*Dimensions!$D$6*G91)</f>
        <v>41.20424748202545</v>
      </c>
      <c r="I91" s="12">
        <f>0.5*'Tower Mass'!AC94*H91*H91</f>
        <v>2797054171.045613</v>
      </c>
      <c r="J91" s="4">
        <f t="shared" si="5"/>
        <v>639869393653.3037</v>
      </c>
    </row>
    <row r="92" spans="1:10" ht="10.5" customHeight="1">
      <c r="A92" s="5">
        <f t="shared" si="6"/>
        <v>23</v>
      </c>
      <c r="C92" s="5">
        <v>12</v>
      </c>
      <c r="D92" s="5">
        <v>0</v>
      </c>
      <c r="E92" s="5">
        <f>C92*Dimensions!$C$101+D92*Dimensions!$C$102</f>
        <v>3.6576000000000004</v>
      </c>
      <c r="G92" s="11">
        <f t="shared" si="4"/>
        <v>82.90560000000004</v>
      </c>
      <c r="H92" s="11">
        <f>SQRT(2*Dimensions!$D$6*G92)</f>
        <v>40.324340099746216</v>
      </c>
      <c r="I92" s="12">
        <f>0.5*'Tower Mass'!AC95*H92*H92</f>
        <v>2688572227.8425517</v>
      </c>
      <c r="J92" s="4">
        <f t="shared" si="5"/>
        <v>642557965881.1462</v>
      </c>
    </row>
    <row r="93" spans="1:10" ht="10.5" customHeight="1">
      <c r="A93" s="5">
        <f t="shared" si="6"/>
        <v>22</v>
      </c>
      <c r="C93" s="5">
        <v>12</v>
      </c>
      <c r="D93" s="5">
        <v>0</v>
      </c>
      <c r="E93" s="5">
        <f>C93*Dimensions!$C$101+D93*Dimensions!$C$102</f>
        <v>3.6576000000000004</v>
      </c>
      <c r="G93" s="11">
        <f t="shared" si="4"/>
        <v>79.24800000000003</v>
      </c>
      <c r="H93" s="11">
        <f>SQRT(2*Dimensions!$D$6*G93)</f>
        <v>39.424799281670424</v>
      </c>
      <c r="I93" s="12">
        <f>0.5*'Tower Mass'!AC96*H93*H93</f>
        <v>2579234098.377206</v>
      </c>
      <c r="J93" s="4">
        <f t="shared" si="5"/>
        <v>645137199979.5234</v>
      </c>
    </row>
    <row r="94" spans="1:10" ht="10.5" customHeight="1">
      <c r="A94" s="5">
        <f t="shared" si="6"/>
        <v>21</v>
      </c>
      <c r="C94" s="5">
        <v>12</v>
      </c>
      <c r="D94" s="5">
        <v>0</v>
      </c>
      <c r="E94" s="5">
        <f>C94*Dimensions!$C$101+D94*Dimensions!$C$102</f>
        <v>3.6576000000000004</v>
      </c>
      <c r="G94" s="11">
        <f t="shared" si="4"/>
        <v>75.59040000000003</v>
      </c>
      <c r="H94" s="11">
        <f>SQRT(2*Dimensions!$D$6*G94)</f>
        <v>38.504249016439736</v>
      </c>
      <c r="I94" s="12">
        <f>0.5*'Tower Mass'!AC97*H94*H94</f>
        <v>2469039782.6495724</v>
      </c>
      <c r="J94" s="4">
        <f t="shared" si="5"/>
        <v>647606239762.173</v>
      </c>
    </row>
    <row r="95" spans="1:10" ht="10.5" customHeight="1">
      <c r="A95" s="5">
        <f t="shared" si="6"/>
        <v>20</v>
      </c>
      <c r="C95" s="5">
        <v>12</v>
      </c>
      <c r="D95" s="5">
        <v>0</v>
      </c>
      <c r="E95" s="5">
        <f>C95*Dimensions!$C$101+D95*Dimensions!$C$102</f>
        <v>3.6576000000000004</v>
      </c>
      <c r="G95" s="11">
        <f t="shared" si="4"/>
        <v>71.93280000000003</v>
      </c>
      <c r="H95" s="11">
        <f>SQRT(2*Dimensions!$D$6*G95)</f>
        <v>37.56114463431593</v>
      </c>
      <c r="I95" s="12">
        <f>0.5*'Tower Mass'!AC98*H95*H95</f>
        <v>2357989280.6596537</v>
      </c>
      <c r="J95" s="4">
        <f t="shared" si="5"/>
        <v>649964229042.8326</v>
      </c>
    </row>
    <row r="96" spans="1:10" ht="10.5" customHeight="1">
      <c r="A96" s="5">
        <f t="shared" si="6"/>
        <v>19</v>
      </c>
      <c r="C96" s="5">
        <v>12</v>
      </c>
      <c r="D96" s="5">
        <v>0</v>
      </c>
      <c r="E96" s="5">
        <f>C96*Dimensions!$C$101+D96*Dimensions!$C$102</f>
        <v>3.6576000000000004</v>
      </c>
      <c r="G96" s="11">
        <f t="shared" si="4"/>
        <v>68.27520000000003</v>
      </c>
      <c r="H96" s="11">
        <f>SQRT(2*Dimensions!$D$6*G96)</f>
        <v>36.593742363415096</v>
      </c>
      <c r="I96" s="12">
        <f>0.5*'Tower Mass'!AC99*H96*H96</f>
        <v>2246082592.407449</v>
      </c>
      <c r="J96" s="4">
        <f t="shared" si="5"/>
        <v>652210311635.2401</v>
      </c>
    </row>
    <row r="97" spans="1:10" ht="10.5" customHeight="1">
      <c r="A97" s="5">
        <f t="shared" si="6"/>
        <v>18</v>
      </c>
      <c r="C97" s="5">
        <v>12</v>
      </c>
      <c r="D97" s="5">
        <v>0</v>
      </c>
      <c r="E97" s="5">
        <f>C97*Dimensions!$C$101+D97*Dimensions!$C$102</f>
        <v>3.6576000000000004</v>
      </c>
      <c r="G97" s="11">
        <f t="shared" si="4"/>
        <v>64.61760000000002</v>
      </c>
      <c r="H97" s="11">
        <f>SQRT(2*Dimensions!$D$6*G97)</f>
        <v>35.600061433654865</v>
      </c>
      <c r="I97" s="12">
        <f>0.5*'Tower Mass'!AC100*H97*H97</f>
        <v>2133319717.8929577</v>
      </c>
      <c r="J97" s="4">
        <f t="shared" si="5"/>
        <v>654343631353.133</v>
      </c>
    </row>
    <row r="98" spans="1:10" ht="10.5" customHeight="1">
      <c r="A98" s="5">
        <f t="shared" si="6"/>
        <v>17</v>
      </c>
      <c r="C98" s="5">
        <v>12</v>
      </c>
      <c r="D98" s="5">
        <v>0</v>
      </c>
      <c r="E98" s="5">
        <f>C98*Dimensions!$C$101+D98*Dimensions!$C$102</f>
        <v>3.6576000000000004</v>
      </c>
      <c r="G98" s="11">
        <f t="shared" si="4"/>
        <v>60.96000000000002</v>
      </c>
      <c r="H98" s="11">
        <f>SQRT(2*Dimensions!$D$6*G98)</f>
        <v>34.577836369559044</v>
      </c>
      <c r="I98" s="12">
        <f>0.5*'Tower Mass'!AC101*H98*H98</f>
        <v>2019700657.11618</v>
      </c>
      <c r="J98" s="4">
        <f t="shared" si="5"/>
        <v>656363332010.2493</v>
      </c>
    </row>
    <row r="99" spans="1:10" ht="10.5" customHeight="1">
      <c r="A99" s="5">
        <f t="shared" si="6"/>
        <v>16</v>
      </c>
      <c r="C99" s="5">
        <v>12</v>
      </c>
      <c r="D99" s="5">
        <v>0</v>
      </c>
      <c r="E99" s="5">
        <f>C99*Dimensions!$C$101+D99*Dimensions!$C$102</f>
        <v>3.6576000000000004</v>
      </c>
      <c r="G99" s="11">
        <f t="shared" si="4"/>
        <v>57.30240000000002</v>
      </c>
      <c r="H99" s="11">
        <f>SQRT(2*Dimensions!$D$6*G99)</f>
        <v>33.52445617634983</v>
      </c>
      <c r="I99" s="12">
        <f>0.5*'Tower Mass'!AC102*H99*H99</f>
        <v>1905225410.0771167</v>
      </c>
      <c r="J99" s="4">
        <f t="shared" si="5"/>
        <v>658268557420.3264</v>
      </c>
    </row>
    <row r="100" spans="1:10" ht="10.5" customHeight="1">
      <c r="A100" s="5">
        <f t="shared" si="6"/>
        <v>15</v>
      </c>
      <c r="C100" s="5">
        <v>12</v>
      </c>
      <c r="D100" s="5">
        <v>0</v>
      </c>
      <c r="E100" s="5">
        <f>C100*Dimensions!$C$101+D100*Dimensions!$C$102</f>
        <v>3.6576000000000004</v>
      </c>
      <c r="G100" s="11">
        <f t="shared" si="4"/>
        <v>53.64480000000002</v>
      </c>
      <c r="H100" s="11">
        <f>SQRT(2*Dimensions!$D$6*G100)</f>
        <v>32.436885729675105</v>
      </c>
      <c r="I100" s="12">
        <f>0.5*'Tower Mass'!AC103*H100*H100</f>
        <v>1789893976.7757678</v>
      </c>
      <c r="J100" s="4">
        <f t="shared" si="5"/>
        <v>660058451397.1022</v>
      </c>
    </row>
    <row r="101" spans="1:10" ht="10.5" customHeight="1">
      <c r="A101" s="5">
        <f t="shared" si="6"/>
        <v>14</v>
      </c>
      <c r="C101" s="5">
        <v>12</v>
      </c>
      <c r="D101" s="5">
        <v>0</v>
      </c>
      <c r="E101" s="5">
        <f>C101*Dimensions!$C$101+D101*Dimensions!$C$102</f>
        <v>3.6576000000000004</v>
      </c>
      <c r="G101" s="11">
        <f t="shared" si="4"/>
        <v>49.987200000000016</v>
      </c>
      <c r="H101" s="11">
        <f>SQRT(2*Dimensions!$D$6*G101)</f>
        <v>31.311562556985244</v>
      </c>
      <c r="I101" s="12">
        <f>0.5*'Tower Mass'!AC104*H101*H101</f>
        <v>1673706357.2121325</v>
      </c>
      <c r="J101" s="4">
        <f t="shared" si="5"/>
        <v>661732157754.3143</v>
      </c>
    </row>
    <row r="102" spans="1:10" ht="10.5" customHeight="1">
      <c r="A102" s="5">
        <f t="shared" si="6"/>
        <v>13</v>
      </c>
      <c r="C102" s="5">
        <v>12</v>
      </c>
      <c r="D102" s="5">
        <v>0</v>
      </c>
      <c r="E102" s="5">
        <f>C102*Dimensions!$C$101+D102*Dimensions!$C$102</f>
        <v>3.6576000000000004</v>
      </c>
      <c r="G102" s="11">
        <f t="shared" si="4"/>
        <v>46.32960000000001</v>
      </c>
      <c r="H102" s="11">
        <f>SQRT(2*Dimensions!$D$6*G102)</f>
        <v>30.14425888423864</v>
      </c>
      <c r="I102" s="12">
        <f>0.5*'Tower Mass'!AC105*H102*H102</f>
        <v>1556662527.7543514</v>
      </c>
      <c r="J102" s="4">
        <f aca="true" t="shared" si="7" ref="J102:J114">J101+I102</f>
        <v>663288820282.0687</v>
      </c>
    </row>
    <row r="103" spans="1:10" ht="10.5" customHeight="1">
      <c r="A103" s="5">
        <f t="shared" si="6"/>
        <v>12</v>
      </c>
      <c r="C103" s="5">
        <v>12</v>
      </c>
      <c r="D103" s="5">
        <v>0</v>
      </c>
      <c r="E103" s="5">
        <f>C103*Dimensions!$C$101+D103*Dimensions!$C$102</f>
        <v>3.6576000000000004</v>
      </c>
      <c r="G103" s="11">
        <f t="shared" si="4"/>
        <v>42.67200000000001</v>
      </c>
      <c r="H103" s="11">
        <f>SQRT(2*Dimensions!$D$6*G103)</f>
        <v>28.929893494446194</v>
      </c>
      <c r="I103" s="12">
        <f>0.5*'Tower Mass'!AC106*H103*H103</f>
        <v>1438762537.5318167</v>
      </c>
      <c r="J103" s="4">
        <f t="shared" si="7"/>
        <v>664727582819.6006</v>
      </c>
    </row>
    <row r="104" spans="1:10" ht="10.5" customHeight="1">
      <c r="A104" s="5">
        <f t="shared" si="6"/>
        <v>11</v>
      </c>
      <c r="C104" s="5">
        <v>12</v>
      </c>
      <c r="D104" s="5">
        <v>0</v>
      </c>
      <c r="E104" s="5">
        <f>C104*Dimensions!$C$101+D104*Dimensions!$C$102</f>
        <v>3.6576000000000004</v>
      </c>
      <c r="G104" s="11">
        <f t="shared" si="4"/>
        <v>39.01440000000001</v>
      </c>
      <c r="H104" s="11">
        <f>SQRT(2*Dimensions!$D$6*G104)</f>
        <v>27.662269095647236</v>
      </c>
      <c r="I104" s="12">
        <f>0.5*'Tower Mass'!AC107*H104*H104</f>
        <v>1320006361.0469966</v>
      </c>
      <c r="J104" s="4">
        <f t="shared" si="7"/>
        <v>666047589180.6476</v>
      </c>
    </row>
    <row r="105" spans="1:10" ht="10.5" customHeight="1">
      <c r="A105" s="5">
        <f t="shared" si="6"/>
        <v>10</v>
      </c>
      <c r="C105" s="5">
        <v>12</v>
      </c>
      <c r="D105" s="5">
        <v>0</v>
      </c>
      <c r="E105" s="5">
        <f>C105*Dimensions!$C$101+D105*Dimensions!$C$102</f>
        <v>3.6576000000000004</v>
      </c>
      <c r="G105" s="11">
        <f t="shared" si="4"/>
        <v>35.35680000000001</v>
      </c>
      <c r="H105" s="11">
        <f>SQRT(2*Dimensions!$D$6*G105)</f>
        <v>26.33369562822507</v>
      </c>
      <c r="I105" s="12">
        <f>0.5*'Tower Mass'!AC108*H105*H105</f>
        <v>1200393998.2998898</v>
      </c>
      <c r="J105" s="4">
        <f t="shared" si="7"/>
        <v>667247983178.9475</v>
      </c>
    </row>
    <row r="106" spans="1:10" ht="10.5" customHeight="1">
      <c r="A106" s="5">
        <f t="shared" si="6"/>
        <v>9</v>
      </c>
      <c r="C106" s="5">
        <v>12</v>
      </c>
      <c r="D106" s="5">
        <v>0</v>
      </c>
      <c r="E106" s="5">
        <f>C106*Dimensions!$C$101+D106*Dimensions!$C$102</f>
        <v>3.6576000000000004</v>
      </c>
      <c r="G106" s="11">
        <f t="shared" si="4"/>
        <v>31.699200000000005</v>
      </c>
      <c r="H106" s="11">
        <f>SQRT(2*Dimensions!$D$6*G106)</f>
        <v>24.934432405009744</v>
      </c>
      <c r="I106" s="12">
        <f>0.5*'Tower Mass'!AC109*H106*H106</f>
        <v>1820991960.1520503</v>
      </c>
      <c r="J106" s="4">
        <f t="shared" si="7"/>
        <v>669068975139.0996</v>
      </c>
    </row>
    <row r="107" spans="1:10" ht="10.5" customHeight="1">
      <c r="A107" s="5">
        <f t="shared" si="6"/>
        <v>8</v>
      </c>
      <c r="C107" s="5">
        <v>10</v>
      </c>
      <c r="D107" s="5">
        <v>0</v>
      </c>
      <c r="E107" s="5">
        <f>C107*Dimensions!$C$101+D107*Dimensions!$C$102</f>
        <v>3.048</v>
      </c>
      <c r="G107" s="11">
        <f t="shared" si="4"/>
        <v>28.651200000000006</v>
      </c>
      <c r="H107" s="11">
        <f>SQRT(2*Dimensions!$D$6*G107)</f>
        <v>23.705370297888198</v>
      </c>
      <c r="I107" s="12">
        <f>0.5*'Tower Mass'!AC110*H107*H107</f>
        <v>1649249975.562153</v>
      </c>
      <c r="J107" s="4">
        <f t="shared" si="7"/>
        <v>670718225114.6617</v>
      </c>
    </row>
    <row r="108" spans="1:10" ht="10.5" customHeight="1">
      <c r="A108" s="5">
        <f t="shared" si="6"/>
        <v>7</v>
      </c>
      <c r="C108" s="5">
        <v>14</v>
      </c>
      <c r="D108" s="5">
        <v>0</v>
      </c>
      <c r="E108" s="5">
        <f>C108*Dimensions!$C$101+D108*Dimensions!$C$102</f>
        <v>4.2672</v>
      </c>
      <c r="G108" s="11">
        <f t="shared" si="4"/>
        <v>24.384000000000007</v>
      </c>
      <c r="H108" s="11">
        <f>SQRT(2*Dimensions!$D$6*G108)</f>
        <v>21.868943897682854</v>
      </c>
      <c r="I108" s="12">
        <f>0.5*'Tower Mass'!AC111*H108*H108</f>
        <v>1406470954.6860487</v>
      </c>
      <c r="J108" s="4">
        <f t="shared" si="7"/>
        <v>672124696069.3478</v>
      </c>
    </row>
    <row r="109" spans="1:10" ht="10.5" customHeight="1">
      <c r="A109" s="5">
        <f t="shared" si="6"/>
        <v>6</v>
      </c>
      <c r="C109" s="5">
        <v>11</v>
      </c>
      <c r="D109" s="5">
        <v>6</v>
      </c>
      <c r="E109" s="5">
        <f>C109*Dimensions!$C$101+D109*Dimensions!$C$102</f>
        <v>3.5052000000000003</v>
      </c>
      <c r="G109" s="11">
        <f t="shared" si="4"/>
        <v>20.878800000000005</v>
      </c>
      <c r="H109" s="11">
        <f>SQRT(2*Dimensions!$D$6*G109)</f>
        <v>20.236159913382778</v>
      </c>
      <c r="I109" s="12">
        <f>0.5*'Tower Mass'!AC112*H109*H109</f>
        <v>556768296.2564548</v>
      </c>
      <c r="J109" s="4">
        <f t="shared" si="7"/>
        <v>672681464365.6042</v>
      </c>
    </row>
    <row r="110" spans="1:10" ht="10.5" customHeight="1">
      <c r="A110" s="5">
        <f t="shared" si="6"/>
        <v>5</v>
      </c>
      <c r="C110" s="5">
        <v>11</v>
      </c>
      <c r="D110" s="5">
        <v>6</v>
      </c>
      <c r="E110" s="5">
        <f>C110*Dimensions!$C$101+D110*Dimensions!$C$102</f>
        <v>3.5052000000000003</v>
      </c>
      <c r="G110" s="11">
        <f t="shared" si="4"/>
        <v>17.373600000000003</v>
      </c>
      <c r="H110" s="11">
        <f>SQRT(2*Dimensions!$D$6*G110)</f>
        <v>18.45951323518581</v>
      </c>
      <c r="I110" s="12">
        <f>0.5*'Tower Mass'!AC113*H110*H110</f>
        <v>465329688.89289916</v>
      </c>
      <c r="J110" s="4">
        <f t="shared" si="7"/>
        <v>673146794054.4972</v>
      </c>
    </row>
    <row r="111" spans="1:10" ht="10.5" customHeight="1">
      <c r="A111" s="5">
        <f t="shared" si="6"/>
        <v>4</v>
      </c>
      <c r="C111" s="5">
        <v>11</v>
      </c>
      <c r="D111" s="5">
        <v>6</v>
      </c>
      <c r="E111" s="5">
        <f>C111*Dimensions!$C$101+D111*Dimensions!$C$102</f>
        <v>3.5052000000000003</v>
      </c>
      <c r="G111" s="11">
        <f t="shared" si="4"/>
        <v>13.868400000000001</v>
      </c>
      <c r="H111" s="11">
        <f>SQRT(2*Dimensions!$D$6*G111)</f>
        <v>16.492576806551487</v>
      </c>
      <c r="I111" s="12">
        <f>0.5*'Tower Mass'!AC114*H111*H111</f>
        <v>373070569.6946526</v>
      </c>
      <c r="J111" s="4">
        <f t="shared" si="7"/>
        <v>673519864624.1919</v>
      </c>
    </row>
    <row r="112" spans="1:10" ht="10.5" customHeight="1">
      <c r="A112" s="5">
        <f t="shared" si="6"/>
        <v>3</v>
      </c>
      <c r="C112" s="5">
        <v>11</v>
      </c>
      <c r="D112" s="5">
        <v>6</v>
      </c>
      <c r="E112" s="5">
        <f>C112*Dimensions!$C$101+D112*Dimensions!$C$102</f>
        <v>3.5052000000000003</v>
      </c>
      <c r="G112" s="11">
        <f t="shared" si="4"/>
        <v>10.3632</v>
      </c>
      <c r="H112" s="11">
        <f>SQRT(2*Dimensions!$D$6*G112)</f>
        <v>14.256807165701582</v>
      </c>
      <c r="I112" s="12">
        <f>0.5*'Tower Mass'!AC115*H112*H112</f>
        <v>279990938.6617152</v>
      </c>
      <c r="J112" s="4">
        <f t="shared" si="7"/>
        <v>673799855562.8536</v>
      </c>
    </row>
    <row r="113" spans="1:10" ht="10.5" customHeight="1">
      <c r="A113" s="5">
        <f t="shared" si="6"/>
        <v>2</v>
      </c>
      <c r="C113" s="5">
        <v>12</v>
      </c>
      <c r="D113" s="5">
        <v>0</v>
      </c>
      <c r="E113" s="5">
        <f>C113*Dimensions!$C$101+D113*Dimensions!$C$102</f>
        <v>3.6576000000000004</v>
      </c>
      <c r="G113" s="11">
        <f>G114+E114</f>
        <v>6.7056000000000004</v>
      </c>
      <c r="H113" s="11">
        <f>SQRT(2*Dimensions!$D$6*G113)</f>
        <v>11.468170930013207</v>
      </c>
      <c r="I113" s="12">
        <f>0.5*'Tower Mass'!AC116*H113*H113</f>
        <v>390703699.5741411</v>
      </c>
      <c r="J113" s="4">
        <f t="shared" si="7"/>
        <v>674190559262.4277</v>
      </c>
    </row>
    <row r="114" spans="1:10" ht="10.5" customHeight="1">
      <c r="A114" s="13">
        <f t="shared" si="6"/>
        <v>1</v>
      </c>
      <c r="B114" s="13"/>
      <c r="C114" s="13">
        <v>22</v>
      </c>
      <c r="D114" s="13">
        <v>0</v>
      </c>
      <c r="E114" s="13">
        <f>C114*Dimensions!$C$101+D114*Dimensions!$C$102</f>
        <v>6.7056000000000004</v>
      </c>
      <c r="F114" s="13"/>
      <c r="G114" s="14">
        <v>0</v>
      </c>
      <c r="H114" s="14">
        <f>SQRT(2*Dimensions!$D$6*G114)</f>
        <v>0</v>
      </c>
      <c r="I114" s="15">
        <f>0.5*'Tower Mass'!AC117*H114*H114</f>
        <v>0</v>
      </c>
      <c r="J114" s="8">
        <f t="shared" si="7"/>
        <v>674190559262.4277</v>
      </c>
    </row>
    <row r="115" spans="3:5" ht="10.5">
      <c r="C115" s="5">
        <v>16</v>
      </c>
      <c r="D115" s="5">
        <v>0</v>
      </c>
      <c r="E115" s="5">
        <f>C115*Dimensions!$C$101+D115*Dimensions!$C$102</f>
        <v>4.8768</v>
      </c>
    </row>
    <row r="116" spans="3:5" ht="10.5">
      <c r="C116" s="5">
        <v>10</v>
      </c>
      <c r="D116" s="5">
        <v>0</v>
      </c>
      <c r="E116" s="5">
        <f>C116*Dimensions!$C$101+D116*Dimensions!$C$102</f>
        <v>3.048</v>
      </c>
    </row>
    <row r="117" spans="3:5" ht="10.5">
      <c r="C117" s="5">
        <v>10</v>
      </c>
      <c r="D117" s="5">
        <v>0</v>
      </c>
      <c r="E117" s="5">
        <f>C117*Dimensions!$C$101+D117*Dimensions!$C$102</f>
        <v>3.048</v>
      </c>
    </row>
    <row r="118" spans="3:5" ht="10.5">
      <c r="C118" s="5">
        <v>10</v>
      </c>
      <c r="D118" s="5">
        <v>0</v>
      </c>
      <c r="E118" s="5">
        <f>C118*Dimensions!$C$101+D118*Dimensions!$C$102</f>
        <v>3.048</v>
      </c>
    </row>
    <row r="119" spans="3:5" ht="10.5">
      <c r="C119" s="5">
        <v>11</v>
      </c>
      <c r="D119" s="5">
        <v>0</v>
      </c>
      <c r="E119" s="5">
        <f>C119*Dimensions!$C$101+D119*Dimensions!$C$102</f>
        <v>3.3528000000000002</v>
      </c>
    </row>
    <row r="120" spans="3:5" ht="10.5">
      <c r="C120" s="5">
        <v>11</v>
      </c>
      <c r="D120" s="5">
        <v>0</v>
      </c>
      <c r="E120" s="5">
        <f>C120*Dimensions!$C$101+D120*Dimensions!$C$102</f>
        <v>3.3528000000000002</v>
      </c>
    </row>
  </sheetData>
  <mergeCells count="1">
    <mergeCell ref="C3:E3"/>
  </mergeCells>
  <printOptions horizontalCentered="1" verticalCentered="1"/>
  <pageMargins left="0.3937007874015748" right="0.3937007874015748" top="0.7874015748031497" bottom="0.7874015748031497" header="0" footer="0"/>
  <pageSetup fitToHeight="1" fitToWidth="1" horizontalDpi="300" verticalDpi="300" orientation="portrait" paperSize="9"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dc:creator>
  <cp:keywords/>
  <dc:description/>
  <cp:lastModifiedBy>Ray</cp:lastModifiedBy>
  <cp:lastPrinted>2008-04-16T22:56:14Z</cp:lastPrinted>
  <dcterms:created xsi:type="dcterms:W3CDTF">2008-03-29T19:04:41Z</dcterms:created>
  <dcterms:modified xsi:type="dcterms:W3CDTF">2009-01-30T12:04:37Z</dcterms:modified>
  <cp:category/>
  <cp:version/>
  <cp:contentType/>
  <cp:contentStatus/>
</cp:coreProperties>
</file>